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ntranet.nordfynsbank.bdpnet.dk/gdpr/Dokumenter/Stabe/Finansafdeling/Regnskab og indberetninger/Årsrapport/Årsregnskab 2022/Søjle III oplysninger/"/>
    </mc:Choice>
  </mc:AlternateContent>
  <xr:revisionPtr revIDLastSave="0" documentId="13_ncr:1_{003A13F4-AC2A-4FA1-9C66-2E159C0A3174}" xr6:coauthVersionLast="47" xr6:coauthVersionMax="47" xr10:uidLastSave="{00000000-0000-0000-0000-000000000000}"/>
  <bookViews>
    <workbookView xWindow="-120" yWindow="-120" windowWidth="51840" windowHeight="21240" xr2:uid="{66919311-5E58-4668-BF27-C13C3CF0779C}"/>
  </bookViews>
  <sheets>
    <sheet name="Oplysninger" sheetId="83" r:id="rId1"/>
    <sheet name="Overblik" sheetId="6" r:id="rId2"/>
    <sheet name="EU OV1" sheetId="1" r:id="rId3"/>
    <sheet name="EU KM1" sheetId="2" r:id="rId4"/>
    <sheet name="Skema EU LI1 " sheetId="8" r:id="rId5"/>
    <sheet name="Skema EU LI2" sheetId="9" r:id="rId6"/>
    <sheet name="Skema EU LI3" sheetId="10" r:id="rId7"/>
    <sheet name="Skema EU CC1" sheetId="15" r:id="rId8"/>
    <sheet name="EU CCyB1" sheetId="19" r:id="rId9"/>
    <sheet name="EU CCyB2" sheetId="20" r:id="rId10"/>
    <sheet name="EU LR1 - LRSum" sheetId="22" r:id="rId11"/>
    <sheet name="EU LR2 - LRCom" sheetId="23" r:id="rId12"/>
    <sheet name="EU LR3 - LRSpl" sheetId="24" r:id="rId13"/>
    <sheet name="EU LIQ1" sheetId="28" r:id="rId14"/>
    <sheet name="EU LIQ2" sheetId="30" r:id="rId15"/>
    <sheet name="Skema EU CR1" sheetId="34" r:id="rId16"/>
    <sheet name="Skema EU CR1-A" sheetId="35" r:id="rId17"/>
    <sheet name="Skema EU CQ3" sheetId="40" r:id="rId18"/>
    <sheet name="Skema EU CQ5" sheetId="42" r:id="rId19"/>
    <sheet name="EU CR3" sheetId="48" r:id="rId20"/>
    <sheet name="EU CR4" sheetId="51" r:id="rId21"/>
    <sheet name="EU CR5" sheetId="52" r:id="rId22"/>
    <sheet name="EU MR1" sheetId="65" r:id="rId23"/>
    <sheet name="Skema EU OR1" sheetId="73" r:id="rId24"/>
    <sheet name="REM1" sheetId="76" r:id="rId25"/>
    <sheet name="REM5" sheetId="80" r:id="rId26"/>
    <sheet name="Skema EU AE1" sheetId="82" r:id="rId27"/>
  </sheets>
  <definedNames>
    <definedName name="_ftn1" localSheetId="22">'EU MR1'!$G$13</definedName>
    <definedName name="_ftnref1" localSheetId="22">'EU MR1'!$G$10</definedName>
    <definedName name="_Toc483499698" localSheetId="4">'Skema EU LI1 '!$C$3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9">'EU CR3'!$B$1:$K$21</definedName>
    <definedName name="_xlnm.Print_Area" localSheetId="10">'EU LR1 - LRSum'!$B$2:$D$21</definedName>
    <definedName name="_xlnm.Print_Area" localSheetId="11">'EU LR2 - LRCom'!$B$2:$E$72</definedName>
    <definedName name="_xlnm.Print_Area" localSheetId="12">'EU LR3 - LRSpl'!$B$2:$D$17</definedName>
    <definedName name="_xlnm.Print_Area" localSheetId="7">'Skema EU CC1'!$B$7:$E$127</definedName>
    <definedName name="_xlnm.Print_Area" localSheetId="4">'Skema EU LI1 '!$B$3:$J$27</definedName>
    <definedName name="_xlnm.Print_Titles" localSheetId="7">'Skema EU CC1'!$7:$7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9" l="1"/>
  <c r="I11" i="19"/>
  <c r="E11" i="19" l="1"/>
  <c r="C33" i="19" l="1"/>
  <c r="C34" i="19" s="1"/>
  <c r="P16" i="34"/>
  <c r="D12" i="23"/>
  <c r="D8" i="23"/>
  <c r="E51" i="23"/>
  <c r="E39" i="23" l="1"/>
  <c r="E26" i="23"/>
  <c r="E14" i="23"/>
  <c r="E59" i="23"/>
  <c r="D37" i="23"/>
  <c r="D36" i="23"/>
  <c r="D39" i="23"/>
  <c r="D13" i="23"/>
  <c r="D20" i="22"/>
  <c r="E54" i="23" l="1"/>
  <c r="E56" i="23" s="1"/>
  <c r="E57" i="23" s="1"/>
  <c r="E58" i="23" s="1"/>
  <c r="E69" i="23" l="1"/>
  <c r="E71" i="23"/>
  <c r="E72" i="23" s="1"/>
  <c r="E70" i="23"/>
  <c r="D14" i="22" l="1"/>
  <c r="D103" i="15" l="1"/>
  <c r="D98" i="15"/>
  <c r="G15" i="82" l="1"/>
  <c r="I27" i="76" l="1"/>
  <c r="I7" i="76"/>
  <c r="I6" i="76"/>
  <c r="I5" i="76"/>
  <c r="G12" i="80"/>
  <c r="I12" i="80"/>
  <c r="J12" i="80"/>
  <c r="J10" i="80"/>
  <c r="E7" i="80" l="1"/>
  <c r="G21" i="51"/>
  <c r="E21" i="51"/>
  <c r="C21" i="51"/>
  <c r="H8" i="51" l="1"/>
  <c r="H27" i="42"/>
  <c r="H20" i="42"/>
  <c r="H14" i="42"/>
  <c r="H9" i="42"/>
  <c r="E27" i="42"/>
  <c r="E14" i="42"/>
  <c r="D27" i="42"/>
  <c r="D20" i="42"/>
  <c r="D14" i="42"/>
  <c r="D9" i="42"/>
  <c r="J14" i="34"/>
  <c r="F11" i="48"/>
  <c r="G31" i="30" l="1"/>
  <c r="G14" i="34"/>
  <c r="N23" i="34"/>
  <c r="M23" i="34"/>
  <c r="K23" i="34"/>
  <c r="J23" i="34"/>
  <c r="Q9" i="34"/>
  <c r="P9" i="34"/>
  <c r="N9" i="34"/>
  <c r="M9" i="34"/>
  <c r="K9" i="34"/>
  <c r="J9" i="34"/>
  <c r="H9" i="34"/>
  <c r="G9" i="34"/>
  <c r="H23" i="34"/>
  <c r="G23" i="34"/>
  <c r="E23" i="34"/>
  <c r="P30" i="34" l="1"/>
  <c r="O30" i="34"/>
  <c r="N30" i="34"/>
  <c r="M30" i="34"/>
  <c r="K30" i="34"/>
  <c r="J30" i="34"/>
  <c r="H30" i="34"/>
  <c r="G30" i="34"/>
  <c r="E30" i="34" l="1"/>
  <c r="D23" i="34"/>
  <c r="D9" i="34"/>
  <c r="D30" i="34" s="1"/>
  <c r="L29" i="34"/>
  <c r="L28" i="34"/>
  <c r="L27" i="34"/>
  <c r="L26" i="34"/>
  <c r="L25" i="34"/>
  <c r="L24" i="34"/>
  <c r="L23" i="34"/>
  <c r="L22" i="34"/>
  <c r="L21" i="34"/>
  <c r="L20" i="34"/>
  <c r="L19" i="34"/>
  <c r="L18" i="34"/>
  <c r="L17" i="34"/>
  <c r="L16" i="34"/>
  <c r="L15" i="34"/>
  <c r="L14" i="34"/>
  <c r="L13" i="34"/>
  <c r="L12" i="34"/>
  <c r="L11" i="34"/>
  <c r="L10" i="34"/>
  <c r="L9" i="34"/>
  <c r="L8" i="34"/>
  <c r="I29" i="34"/>
  <c r="I28" i="34"/>
  <c r="I27" i="34"/>
  <c r="I26" i="34"/>
  <c r="I25" i="34"/>
  <c r="I24" i="34"/>
  <c r="I23" i="34"/>
  <c r="I22" i="34"/>
  <c r="I21" i="34"/>
  <c r="I20" i="34"/>
  <c r="I19" i="34"/>
  <c r="I18" i="34"/>
  <c r="I17" i="34"/>
  <c r="I16" i="34"/>
  <c r="I15" i="34"/>
  <c r="I14" i="34"/>
  <c r="I13" i="34"/>
  <c r="I12" i="34"/>
  <c r="I11" i="34"/>
  <c r="I10" i="34"/>
  <c r="I9" i="34"/>
  <c r="I30" i="34" s="1"/>
  <c r="I8" i="34"/>
  <c r="F29" i="34"/>
  <c r="F28" i="34"/>
  <c r="F27" i="34"/>
  <c r="F26" i="34"/>
  <c r="F25" i="34"/>
  <c r="F24" i="34"/>
  <c r="F23" i="34"/>
  <c r="F22" i="34"/>
  <c r="F21" i="34"/>
  <c r="F20" i="34"/>
  <c r="F19" i="34"/>
  <c r="F18" i="34"/>
  <c r="F17" i="34"/>
  <c r="F16" i="34"/>
  <c r="F15" i="34"/>
  <c r="F14" i="34"/>
  <c r="F13" i="34"/>
  <c r="F12" i="34"/>
  <c r="F11" i="34"/>
  <c r="F10" i="34"/>
  <c r="F9" i="34"/>
  <c r="F8" i="34"/>
  <c r="C29" i="34"/>
  <c r="C28" i="34"/>
  <c r="C27" i="34"/>
  <c r="C26" i="34"/>
  <c r="C25" i="34"/>
  <c r="C24" i="34"/>
  <c r="C23" i="34"/>
  <c r="C22" i="34"/>
  <c r="C21" i="34"/>
  <c r="C20" i="34"/>
  <c r="C19" i="34"/>
  <c r="C18" i="34"/>
  <c r="C17" i="34"/>
  <c r="C16" i="34"/>
  <c r="C15" i="34"/>
  <c r="C14" i="34"/>
  <c r="C13" i="34"/>
  <c r="C12" i="34"/>
  <c r="C11" i="34"/>
  <c r="C10" i="34"/>
  <c r="C8" i="34"/>
  <c r="L30" i="34" l="1"/>
  <c r="F30" i="34"/>
  <c r="C9" i="34"/>
  <c r="C30" i="34" s="1"/>
  <c r="D11" i="9" l="1"/>
  <c r="J16" i="8"/>
  <c r="F17" i="8"/>
  <c r="F11" i="8"/>
  <c r="J14" i="8"/>
  <c r="I14" i="8" s="1"/>
  <c r="J12" i="8"/>
  <c r="F12" i="8" s="1"/>
  <c r="F14" i="8"/>
  <c r="D24" i="8" l="1"/>
  <c r="D17" i="8"/>
  <c r="D90" i="15"/>
  <c r="D12" i="80"/>
  <c r="C12" i="80"/>
  <c r="D10" i="80"/>
  <c r="C10" i="80"/>
  <c r="D7" i="80"/>
  <c r="C7" i="80"/>
  <c r="H27" i="30" l="1"/>
  <c r="H43" i="30" s="1"/>
  <c r="G27" i="30"/>
  <c r="F27" i="30"/>
  <c r="E27" i="30"/>
  <c r="G34" i="30"/>
  <c r="D10" i="30"/>
  <c r="H10" i="30"/>
  <c r="K24" i="28" l="1"/>
  <c r="G24" i="28"/>
  <c r="J45" i="28"/>
  <c r="J24" i="28"/>
  <c r="F24" i="28"/>
  <c r="I46" i="28"/>
  <c r="K45" i="28"/>
  <c r="J46" i="28"/>
  <c r="I45" i="28"/>
  <c r="K44" i="28"/>
  <c r="J44" i="28"/>
  <c r="I44" i="28"/>
  <c r="E36" i="28"/>
  <c r="I36" i="28"/>
  <c r="I25" i="28"/>
  <c r="I24" i="28"/>
  <c r="E24" i="28"/>
  <c r="H46" i="28"/>
  <c r="H45" i="28"/>
  <c r="H44" i="28"/>
  <c r="K41" i="28"/>
  <c r="J41" i="28"/>
  <c r="I41" i="28"/>
  <c r="H41" i="28"/>
  <c r="G41" i="28"/>
  <c r="F41" i="28"/>
  <c r="E41" i="28"/>
  <c r="D41" i="28"/>
  <c r="K36" i="28"/>
  <c r="J36" i="28"/>
  <c r="H36" i="28"/>
  <c r="G36" i="28"/>
  <c r="F36" i="28"/>
  <c r="D36" i="28"/>
  <c r="H25" i="28"/>
  <c r="H24" i="28"/>
  <c r="D24" i="28"/>
  <c r="D8" i="24"/>
  <c r="K46" i="28" l="1"/>
  <c r="D21" i="22"/>
  <c r="D14" i="15" l="1"/>
  <c r="D13" i="15" l="1"/>
  <c r="D19" i="15" s="1"/>
  <c r="E47" i="2" l="1"/>
  <c r="D47" i="2"/>
  <c r="D29" i="2" l="1"/>
  <c r="D30" i="2" s="1"/>
  <c r="E30" i="2" l="1"/>
  <c r="D31" i="1" l="1"/>
  <c r="D36" i="1" l="1"/>
  <c r="D8" i="1"/>
  <c r="D44" i="1" s="1"/>
  <c r="D7" i="20" l="1"/>
  <c r="D93" i="15"/>
  <c r="D12" i="2"/>
  <c r="E31" i="1"/>
  <c r="E8" i="1"/>
  <c r="E9" i="1" s="1"/>
  <c r="H31" i="30" l="1"/>
  <c r="M13" i="19" l="1"/>
  <c r="I13" i="19"/>
  <c r="J13" i="19"/>
  <c r="E13" i="19"/>
  <c r="C13" i="19"/>
  <c r="H11" i="19"/>
  <c r="H13" i="19" s="1"/>
  <c r="F16" i="2"/>
  <c r="F15" i="2"/>
  <c r="F14" i="2"/>
  <c r="E16" i="2"/>
  <c r="E15" i="2"/>
  <c r="E14" i="2"/>
  <c r="D16" i="2"/>
  <c r="D15" i="2"/>
  <c r="D14" i="2"/>
  <c r="L11" i="19" l="1"/>
  <c r="L13" i="19" s="1"/>
  <c r="E20" i="2"/>
  <c r="E19" i="2"/>
  <c r="D20" i="2"/>
  <c r="D19" i="2"/>
  <c r="H9" i="82" l="1"/>
  <c r="I9" i="82" s="1"/>
  <c r="J9" i="82" s="1"/>
  <c r="E12" i="80" l="1"/>
  <c r="E10" i="80"/>
  <c r="R23" i="52"/>
  <c r="R22" i="52"/>
  <c r="R21" i="52"/>
  <c r="R20" i="52"/>
  <c r="R19" i="52"/>
  <c r="R18" i="52"/>
  <c r="R17" i="52"/>
  <c r="R16" i="52"/>
  <c r="R15" i="52"/>
  <c r="R14" i="52"/>
  <c r="R13" i="52"/>
  <c r="R12" i="52"/>
  <c r="R11" i="52"/>
  <c r="R10" i="52"/>
  <c r="R9" i="52"/>
  <c r="R8" i="52"/>
  <c r="Q24" i="52"/>
  <c r="P24" i="52"/>
  <c r="O24" i="52"/>
  <c r="N24" i="52"/>
  <c r="M24" i="52"/>
  <c r="L24" i="52"/>
  <c r="K24" i="52"/>
  <c r="J24" i="52"/>
  <c r="I24" i="52"/>
  <c r="H24" i="52"/>
  <c r="G24" i="52"/>
  <c r="F24" i="52"/>
  <c r="E24" i="52"/>
  <c r="D24" i="52"/>
  <c r="C24" i="52"/>
  <c r="H22" i="51"/>
  <c r="H21" i="51"/>
  <c r="H16" i="51"/>
  <c r="H15" i="51"/>
  <c r="H14" i="51"/>
  <c r="H13" i="51"/>
  <c r="H12" i="51"/>
  <c r="H9" i="51"/>
  <c r="H7" i="51"/>
  <c r="F23" i="51"/>
  <c r="E23" i="51"/>
  <c r="D23" i="51"/>
  <c r="C23" i="51"/>
  <c r="G23" i="51"/>
  <c r="F13" i="48"/>
  <c r="E13" i="48"/>
  <c r="D13" i="48"/>
  <c r="H23" i="51" l="1"/>
  <c r="R24" i="52"/>
  <c r="H28" i="42"/>
  <c r="G12" i="42" l="1"/>
  <c r="G27" i="42"/>
  <c r="G21" i="42"/>
  <c r="G20" i="42"/>
  <c r="G18" i="42"/>
  <c r="G17" i="42"/>
  <c r="G16" i="42"/>
  <c r="G15" i="42"/>
  <c r="G14" i="42"/>
  <c r="G11" i="42"/>
  <c r="G9" i="42"/>
  <c r="F27" i="42"/>
  <c r="F20" i="42"/>
  <c r="F18" i="42"/>
  <c r="F17" i="42"/>
  <c r="F16" i="42"/>
  <c r="F15" i="42"/>
  <c r="F14" i="42"/>
  <c r="F11" i="42"/>
  <c r="F9" i="42"/>
  <c r="E28" i="42"/>
  <c r="D28" i="42"/>
  <c r="F28" i="42" l="1"/>
  <c r="G28" i="42"/>
  <c r="H9" i="35"/>
  <c r="G9" i="35"/>
  <c r="F9" i="35"/>
  <c r="E9" i="35"/>
  <c r="D9" i="35"/>
  <c r="I7" i="35"/>
  <c r="I9" i="35" s="1"/>
  <c r="C14" i="65" l="1"/>
  <c r="D63" i="23" l="1"/>
  <c r="D41" i="23"/>
  <c r="D51" i="23" s="1"/>
  <c r="D26" i="23"/>
  <c r="D14" i="23" l="1"/>
  <c r="D54" i="23" s="1"/>
  <c r="D6" i="24"/>
  <c r="D56" i="23" l="1"/>
  <c r="D57" i="23"/>
  <c r="D58" i="23" s="1"/>
  <c r="D71" i="23"/>
  <c r="D72" i="23" s="1"/>
  <c r="D70" i="23"/>
  <c r="D69" i="23"/>
  <c r="D49" i="15"/>
  <c r="D50" i="15" s="1"/>
  <c r="D70" i="15"/>
  <c r="D80" i="15"/>
  <c r="D91" i="15" s="1"/>
  <c r="H19" i="9"/>
  <c r="G19" i="9"/>
  <c r="F19" i="9"/>
  <c r="D19" i="9"/>
  <c r="F10" i="9"/>
  <c r="E11" i="9"/>
  <c r="E19" i="9" s="1"/>
  <c r="D95" i="15" l="1"/>
  <c r="D104" i="15" s="1"/>
  <c r="D71" i="15"/>
  <c r="D92" i="15" s="1"/>
  <c r="D97" i="15" s="1"/>
  <c r="D96" i="15"/>
  <c r="G18" i="8"/>
  <c r="G8" i="9" s="1"/>
  <c r="G10" i="9" s="1"/>
  <c r="J18" i="8"/>
  <c r="E44" i="1" l="1"/>
  <c r="F36" i="1"/>
  <c r="F31" i="1"/>
  <c r="F8" i="1"/>
  <c r="D9" i="1"/>
  <c r="F9" i="1" s="1"/>
  <c r="F44" i="1" l="1"/>
  <c r="H36" i="30"/>
  <c r="G36" i="30"/>
  <c r="F36" i="30"/>
  <c r="E36" i="30"/>
  <c r="F9" i="30"/>
  <c r="E9" i="30"/>
  <c r="D9" i="30"/>
  <c r="G9" i="30"/>
  <c r="H9" i="30"/>
  <c r="H22" i="30" s="1"/>
  <c r="F19" i="30"/>
  <c r="G15" i="30"/>
  <c r="F15" i="30"/>
  <c r="H44" i="30" l="1"/>
  <c r="F15" i="8"/>
  <c r="F10" i="8"/>
  <c r="I13" i="8"/>
  <c r="J26" i="8"/>
  <c r="J25" i="8"/>
  <c r="J23" i="8"/>
  <c r="J22" i="8"/>
  <c r="J21" i="8"/>
  <c r="D27" i="8"/>
  <c r="D18" i="8"/>
  <c r="D8" i="9" s="1"/>
  <c r="J27" i="8" l="1"/>
  <c r="D9" i="9"/>
  <c r="D10" i="9" s="1"/>
  <c r="I18" i="8"/>
  <c r="H8" i="9" s="1"/>
  <c r="H10" i="9" s="1"/>
  <c r="F18" i="8"/>
  <c r="E8" i="9" s="1"/>
  <c r="E10" i="9" s="1"/>
  <c r="J24" i="8"/>
  <c r="E51" i="2"/>
  <c r="D51" i="2" l="1"/>
  <c r="I46" i="2" l="1"/>
</calcChain>
</file>

<file path=xl/sharedStrings.xml><?xml version="1.0" encoding="utf-8"?>
<sst xmlns="http://schemas.openxmlformats.org/spreadsheetml/2006/main" count="1262" uniqueCount="921">
  <si>
    <t>Skema EU OV1 – Oversigt over samlede risikoeksponeringer</t>
  </si>
  <si>
    <t>Samlede risikoeksponeringer (TREA)</t>
  </si>
  <si>
    <t>a</t>
  </si>
  <si>
    <t>b</t>
  </si>
  <si>
    <t>c</t>
  </si>
  <si>
    <t>Kreditrisiko (undtagen modpartskreditrisiko)</t>
  </si>
  <si>
    <t xml:space="preserve">Heraf i henhold til standardmetoden </t>
  </si>
  <si>
    <t xml:space="preserve">Heraf i henhold til den grundlæggende IRB-metode (Foundation IRB, F-IRB) </t>
  </si>
  <si>
    <t>Heraf i henhold til kategoriseringsmetoden</t>
  </si>
  <si>
    <t>EU 4a</t>
  </si>
  <si>
    <t>Heraf: aktier i henhold til den forenklede risikovægtningsmetode</t>
  </si>
  <si>
    <t xml:space="preserve">Heraf i henhold til den avancerede IRB-metode (Advanced IRB, A-IRB) </t>
  </si>
  <si>
    <t xml:space="preserve">Modpartskreditrisiko — CCR </t>
  </si>
  <si>
    <t>Heraf i henhold til metoden med interne modeller (IMM)</t>
  </si>
  <si>
    <t>EU 8a</t>
  </si>
  <si>
    <t>Heraf eksponeringer mod en CCP</t>
  </si>
  <si>
    <t>EU 8b</t>
  </si>
  <si>
    <t>Heraf kreditværdijustering — CVA</t>
  </si>
  <si>
    <t>Heraf anden modpartskreditrisiko</t>
  </si>
  <si>
    <t>Ikke relevant</t>
  </si>
  <si>
    <t xml:space="preserve">Afviklingsrisiko </t>
  </si>
  <si>
    <t>Securitiseringseksponeringer uden for handelsbeholdningen (efter loftet)</t>
  </si>
  <si>
    <t xml:space="preserve">Heraf i henhold til SEC-IRBA-metoden </t>
  </si>
  <si>
    <t>Heraf i henhold til SEC-ERBA (undtagen IAA)</t>
  </si>
  <si>
    <t xml:space="preserve">Heraf i henhold til SEC-SA-metoden </t>
  </si>
  <si>
    <t>EU 19a</t>
  </si>
  <si>
    <t>Heraf 1 250 % / fradrag</t>
  </si>
  <si>
    <t>Positionsrisiko, valutarisiko og råvarerisiko (markedsrisiko)</t>
  </si>
  <si>
    <t xml:space="preserve">Heraf i henhold til metoden med interne modeller </t>
  </si>
  <si>
    <t>EU 22a</t>
  </si>
  <si>
    <t>Store eksponeringer</t>
  </si>
  <si>
    <t xml:space="preserve">Operationel risiko </t>
  </si>
  <si>
    <t>EU 23a</t>
  </si>
  <si>
    <t xml:space="preserve">Heraf i henhold til basisindikatormetoden </t>
  </si>
  <si>
    <t>EU 23b</t>
  </si>
  <si>
    <t>EU 23c</t>
  </si>
  <si>
    <t xml:space="preserve">Heraf i henhold til den avancerede målemetode </t>
  </si>
  <si>
    <t>Beløb under tærsklerne for fradrag (omfattet
af en risikovægt på 250 %)</t>
  </si>
  <si>
    <t>I alt</t>
  </si>
  <si>
    <t>NSFR (%)</t>
  </si>
  <si>
    <t>Krævet stabil finansiering i alt</t>
  </si>
  <si>
    <t>Tilgængelig stabil finansiering i alt</t>
  </si>
  <si>
    <t>Net stable funding ratio</t>
  </si>
  <si>
    <t>Likviditetsdækningsgrad (%)</t>
  </si>
  <si>
    <t>Nettopengestrømme i alt (justeret værdi)</t>
  </si>
  <si>
    <t xml:space="preserve">Indgående pengestrømme — Samlet vægtet værdi </t>
  </si>
  <si>
    <t>EU 16b</t>
  </si>
  <si>
    <t xml:space="preserve">Udgående pengestrømme — Samlet vægtet værdi </t>
  </si>
  <si>
    <t>EU 16a</t>
  </si>
  <si>
    <t>Likvide aktiver af høj kvalitet (HQLA) i alt (vægtet værdi — gennemsnit)</t>
  </si>
  <si>
    <t>Likviditetsdækningsgrad</t>
  </si>
  <si>
    <t>Sammenlagt gearingsgradkrav (%)</t>
  </si>
  <si>
    <t>EU 14e</t>
  </si>
  <si>
    <t>Krav vedrørende gearingsgradbuffer (%)</t>
  </si>
  <si>
    <t>EU 14d</t>
  </si>
  <si>
    <t>Gearingsgradbuffer og sammenlagt gearingsgradkrav (som en procentdel af det samlede eksponeringsmål)</t>
  </si>
  <si>
    <t>Samlede SREP-gearingsgradkrav (%)</t>
  </si>
  <si>
    <t>EU 14c</t>
  </si>
  <si>
    <t xml:space="preserve">     heraf: i form af egentlig kernekapital (procentpoint)</t>
  </si>
  <si>
    <t>EU 14b</t>
  </si>
  <si>
    <t xml:space="preserve">Krav om yderligere kapitalgrundlag til at tage højde for risikoen for overdreven gearing (%) </t>
  </si>
  <si>
    <t>EU 14a</t>
  </si>
  <si>
    <r>
      <rPr>
        <b/>
        <sz val="11"/>
        <color theme="1"/>
        <rFont val="Calibri"/>
        <family val="2"/>
        <scheme val="minor"/>
      </rPr>
      <t>Krav om yderligere kapitalgrundlag til at tage højde for risikoen for overdreven gearing (som en procentdel af det samlede eksponeringsmål)</t>
    </r>
  </si>
  <si>
    <t>Gearingsgrad (%)</t>
  </si>
  <si>
    <t>Samlet eksponeringsmål</t>
  </si>
  <si>
    <t>Gearingsgrad</t>
  </si>
  <si>
    <t>Tilgængelig egentlig kernekapital efter opfyldelse af samlede SREP-kapitalgrundlagskrav (%)</t>
  </si>
  <si>
    <t>Sammenlagte kapitalkrav (%)</t>
  </si>
  <si>
    <t>EU 11a</t>
  </si>
  <si>
    <t>Kombineret bufferkrav (%)</t>
  </si>
  <si>
    <t>Buffer for andre systemisk vigtige institutter (%)</t>
  </si>
  <si>
    <t>EU 10a</t>
  </si>
  <si>
    <t>Buffer for globale systemisk vigtige institutter (%)</t>
  </si>
  <si>
    <t>Systemisk risikobuffer (%)</t>
  </si>
  <si>
    <t>EU 9a</t>
  </si>
  <si>
    <t>Institutspecifik kontracyklisk kapitalbuffer (%)</t>
  </si>
  <si>
    <t>Bevaringsbuffer som følge af makroprudentiel eller systemisk risiko identificeret på medlemsstatsniveau (%)</t>
  </si>
  <si>
    <t>Kapitalbevaringsbuffer (%)</t>
  </si>
  <si>
    <t>Kombineret bufferkrav og sammenlagt kapitalkrav (som en procentdel af den risikovægtede eksponering)</t>
  </si>
  <si>
    <t>Samlede SREP-kapitalgrundlagskrav (%)</t>
  </si>
  <si>
    <t>EU 7d</t>
  </si>
  <si>
    <t xml:space="preserve">     heraf: i form af kernekapital (procentpoint)</t>
  </si>
  <si>
    <t>EU 7c</t>
  </si>
  <si>
    <t>EU 7b</t>
  </si>
  <si>
    <r>
      <rPr>
        <sz val="11"/>
        <color theme="1"/>
        <rFont val="Calibri"/>
        <family val="2"/>
        <scheme val="minor"/>
      </rPr>
      <t>Krav om yderligere kapitalgrundlag til at tage højde for andre risici end risikoen for overdreven gearing (%)</t>
    </r>
    <r>
      <rPr>
        <sz val="11"/>
        <color rgb="FF000000"/>
        <rFont val="Calibri"/>
        <family val="2"/>
        <scheme val="minor"/>
      </rPr>
      <t xml:space="preserve"> </t>
    </r>
  </si>
  <si>
    <t>EU 7a</t>
  </si>
  <si>
    <t>Krav om yderligere kapitalgrundlag til at tage højde for andre risici end risikoen for overdreven gearing (som en procentdel af den risikovægtede eksponering)</t>
  </si>
  <si>
    <t>Kapitalprocent i alt (%)</t>
  </si>
  <si>
    <t>Kernekapitalprocent (%)</t>
  </si>
  <si>
    <r>
      <rPr>
        <sz val="11"/>
        <color theme="1"/>
        <rFont val="Calibri"/>
        <family val="2"/>
        <scheme val="minor"/>
      </rPr>
      <t>Egentlig kernekapitalprocent (%)</t>
    </r>
  </si>
  <si>
    <r>
      <rPr>
        <b/>
        <sz val="11"/>
        <color rgb="FF000000"/>
        <rFont val="Calibri"/>
        <family val="2"/>
        <scheme val="minor"/>
      </rPr>
      <t>Kapitalprocenter (som en procentdel af den risikovægtede eksponering)</t>
    </r>
  </si>
  <si>
    <t>Samlet risikoeksponering</t>
  </si>
  <si>
    <t>Risikovægtede eksponeringer</t>
  </si>
  <si>
    <t xml:space="preserve">Samlet kapital </t>
  </si>
  <si>
    <t xml:space="preserve">Kernekapital </t>
  </si>
  <si>
    <t xml:space="preserve">Egentlig kernekapital (CET1) </t>
  </si>
  <si>
    <t>Tilgængeligt kapitalgrundlag (beløb)</t>
  </si>
  <si>
    <t>T-4</t>
  </si>
  <si>
    <t>T-3</t>
  </si>
  <si>
    <t>e</t>
  </si>
  <si>
    <t>d</t>
  </si>
  <si>
    <t>Skema EU KM1 – Skema om væsentlige målekriterier</t>
  </si>
  <si>
    <t>Alle tal i t.kr pr. 31.12.2021</t>
  </si>
  <si>
    <t>Kapitalgrundlag</t>
  </si>
  <si>
    <t>Efter indregning af årets resulat, men havd med pr. 30/6?</t>
  </si>
  <si>
    <t>LCR skema 72 row 010 c40. Gennemsnit?</t>
  </si>
  <si>
    <t>LCR skema 73 row 010 c060</t>
  </si>
  <si>
    <t>LCR skema 74 row 010 c140</t>
  </si>
  <si>
    <t>LCR skema 76</t>
  </si>
  <si>
    <t>NSFR skema 84 row 0010 c0020</t>
  </si>
  <si>
    <t>NSFR skema 84 row 120 c 0030</t>
  </si>
  <si>
    <t>Kan kun finde opgørelse før indregning af resultat</t>
  </si>
  <si>
    <t xml:space="preserve">Skema EU LI2 – Primære kilder til forskelle mellem de tilsynsmæssige eksponeringsbeløb og regnskabsmæssige værdier </t>
  </si>
  <si>
    <t xml:space="preserve">Skema EU LI3 – Skitsering af forskellene i konsolideringens omfang (enhed for enhed) </t>
  </si>
  <si>
    <t xml:space="preserve">Skema EU LI1 – Forskelle mellem de regnskabsmæssige rammer og rammerne for tilsynsmæssig konsolidering og sammenstilling af regnskabskategorierne og lovmæssigt fastsatte risikokategorier </t>
  </si>
  <si>
    <t>f</t>
  </si>
  <si>
    <t>g</t>
  </si>
  <si>
    <t xml:space="preserve"> </t>
  </si>
  <si>
    <t>Regnskabsmæssige værdier som indberettet i offentliggjorte regnskaber</t>
  </si>
  <si>
    <t>Regnskabsmæssige værdier inden for rammerne for tilsynsmæssig konsolidering</t>
  </si>
  <si>
    <t>Regnskabsmæssige værdier af poster</t>
  </si>
  <si>
    <t>omfattet af kreditrisikorammen</t>
  </si>
  <si>
    <t xml:space="preserve">omfattet af modpartskreditrisikorammen </t>
  </si>
  <si>
    <t>omfattet af securitiseringsrammen</t>
  </si>
  <si>
    <t>omfattet af markedsrisikorammen</t>
  </si>
  <si>
    <t>Ikke omfattet af kapitalgrundlagskrav eller omfattet af fradrag i kapitalgrundlag</t>
  </si>
  <si>
    <t>Opdeling efter aktivklasser i overensstemmelse med balancen i de offentliggjorte regnskaber</t>
  </si>
  <si>
    <t>xxx</t>
  </si>
  <si>
    <t xml:space="preserve">Aktiver i alt </t>
  </si>
  <si>
    <t>Opdeling efter passivklasser i overensstemmelse med balancen i de offentliggjorte regnskaber</t>
  </si>
  <si>
    <t>1</t>
  </si>
  <si>
    <t xml:space="preserve">Passiver i alt </t>
  </si>
  <si>
    <t xml:space="preserve">Poster omfattet af </t>
  </si>
  <si>
    <t>Regnskabsmæssig værdi af aktiver inden for rammerne for tilsynsmæssig konsolidering (jf. skema LI1)</t>
  </si>
  <si>
    <t>Regnskabsmæssig værdi af passiver inden for rammerne for tilsynsmæssig konsolidering (jf. skema LI1)</t>
  </si>
  <si>
    <t>Samlet nettobeløb inden for rammerne for tilsynsmæssig konsolidering</t>
  </si>
  <si>
    <t>Ikkebalanceførte beløb</t>
  </si>
  <si>
    <t xml:space="preserve">Forskelle i værdiansættelser </t>
  </si>
  <si>
    <t>Forskelle pga. forskellige nettingregler ud over dem, der allerede er inkluderet i række 2</t>
  </si>
  <si>
    <t>Forskelle pga. hensyntagen til bestemmelser</t>
  </si>
  <si>
    <t>Forskelle pga. anvendelse af kreditrisikoreduktionsteknikker (CRM)</t>
  </si>
  <si>
    <t>Forskelle pga. kreditkonverteringsfaktorer</t>
  </si>
  <si>
    <t>Forskelle pga. securitisering med risikooverførsel</t>
  </si>
  <si>
    <t>Andre forskelle</t>
  </si>
  <si>
    <t>Eksponeringer overvejet i tilsynsøjemed</t>
  </si>
  <si>
    <t>h</t>
  </si>
  <si>
    <t>Enhedens navn</t>
  </si>
  <si>
    <t>Metode for regnskabsmæssig konsolidering</t>
  </si>
  <si>
    <t>Metode for tilsynsmæssig konsolidering</t>
  </si>
  <si>
    <t>Beskrivelse af enheden</t>
  </si>
  <si>
    <t>Fuld konsolidering</t>
  </si>
  <si>
    <t>Proportional konsolidering</t>
  </si>
  <si>
    <t>Den indre værdis metode</t>
  </si>
  <si>
    <t>Hverken konsolideret eller fratrukket</t>
  </si>
  <si>
    <t>Fratrukket</t>
  </si>
  <si>
    <t>X</t>
  </si>
  <si>
    <t>Kassebeholdning og anfordringstilgodehavender hos centralbanker</t>
  </si>
  <si>
    <t>Tilgodehavender hos kreditinstitutter og centralbanker</t>
  </si>
  <si>
    <t>Udlån og andre tilgodehavender til amortiseret kostpris</t>
  </si>
  <si>
    <t>Obligationer til dagsværdi</t>
  </si>
  <si>
    <t>Aktier mv</t>
  </si>
  <si>
    <t>Oplyst på koncernniveau</t>
  </si>
  <si>
    <t>Kapitalandele i associerede virksomheder</t>
  </si>
  <si>
    <t>Aktiver tilknyttet puljeordning</t>
  </si>
  <si>
    <t>Andre aktiver</t>
  </si>
  <si>
    <t>4</t>
  </si>
  <si>
    <t>5</t>
  </si>
  <si>
    <t>6</t>
  </si>
  <si>
    <t>7</t>
  </si>
  <si>
    <t>8</t>
  </si>
  <si>
    <t>Indlån og anden gæld</t>
  </si>
  <si>
    <t>Indlån i puljeordningen</t>
  </si>
  <si>
    <t>Udstedte obligationer til amortiseret kostpris</t>
  </si>
  <si>
    <t>Andre passiver</t>
  </si>
  <si>
    <t>Efterstillet kapitalindskud</t>
  </si>
  <si>
    <t>Egenkapital i alt</t>
  </si>
  <si>
    <t>Nordfyns Finans A/S</t>
  </si>
  <si>
    <t>Leasing</t>
  </si>
  <si>
    <t>Skema EU CC1 — Sammensætning af lovpligtigt kapitalgrundlag</t>
  </si>
  <si>
    <t>Skema CC2 – Afstemning mellem lovbestemt kapitalgrundlag og balancen i de reviderede regnskaber</t>
  </si>
  <si>
    <t xml:space="preserve"> a)</t>
  </si>
  <si>
    <t xml:space="preserve">  b)</t>
  </si>
  <si>
    <t>Beløb</t>
  </si>
  <si>
    <r>
      <rPr>
        <b/>
        <sz val="11"/>
        <color theme="1"/>
        <rFont val="Calibri"/>
        <family val="2"/>
        <scheme val="minor"/>
      </rPr>
      <t>Kilde baseret på referencenumre/-bogstaver i balancen i henhold til den tilsynsmæssige ramme for konsolideringen</t>
    </r>
    <r>
      <rPr>
        <sz val="11"/>
        <color rgb="FF000000"/>
        <rFont val="Calibri"/>
        <family val="2"/>
        <scheme val="minor"/>
      </rPr>
      <t> </t>
    </r>
  </si>
  <si>
    <t xml:space="preserve">Egentlig kernekapital:  instrumenter og reserver                                             </t>
  </si>
  <si>
    <t xml:space="preserve">Kapitalinstrumenter og overkurs ved emission i tilknytning hertil </t>
  </si>
  <si>
    <t>h)</t>
  </si>
  <si>
    <t xml:space="preserve">     heraf: instrumenttype 1</t>
  </si>
  <si>
    <t xml:space="preserve">     heraf: instrumenttype 2</t>
  </si>
  <si>
    <t xml:space="preserve">     heraf: instrumenttype 3</t>
  </si>
  <si>
    <t xml:space="preserve">Overført resultat </t>
  </si>
  <si>
    <t>Akkumuleret anden totalindkomst (og andre reserver)</t>
  </si>
  <si>
    <t>EU-3a</t>
  </si>
  <si>
    <t>Midler til dækning af generelle kreditinstitutrisici</t>
  </si>
  <si>
    <t xml:space="preserve">Beløb for kvalificerede poster omhandlet i artikel 484, stk. 3, i CRR og overkurs ved emission i tilknytning hertil underlagt udfasning fra egentlig kernekapital </t>
  </si>
  <si>
    <t>Minoritetsinteresser (beløb tilladt i den konsoliderede egentlige kernekapital)</t>
  </si>
  <si>
    <t>EU-5a</t>
  </si>
  <si>
    <t xml:space="preserve">Uafhængigt kontrollerede foreløbige overskud fratrukket forventede udgifter eller udbytter </t>
  </si>
  <si>
    <t>Egentlig kernekapital før lovpligtige justeringer</t>
  </si>
  <si>
    <t>Egentlig kernekapital: lovpligtige justeringer </t>
  </si>
  <si>
    <t>Yderligere værdijusteringer (negativt beløb)</t>
  </si>
  <si>
    <t>Immaterielle aktiver (fratrukket tilhørende skatteforpligtelser) (negativt beløb)</t>
  </si>
  <si>
    <t>a)minus d)</t>
  </si>
  <si>
    <t>Udskudte skatteaktiver, som afhænger af fremtidig rentabilitet, bortset fra aktiver, som skyldes midlertidige forskelle (fratrukket tilknyttede skatteforpligtelser, hvis betingelserne i artikel 38, stk. 3, i CRR er opfyldt) (negativt beløb)</t>
  </si>
  <si>
    <t>Dagsværdireserver i relation til gevinst eller tab på sikring af pengestrømme for finansielle instrumenter, som ikke er værdiansat til dagsværdi</t>
  </si>
  <si>
    <t xml:space="preserve">Negative beløb, der fremkommer ved beregningen af forventede tab </t>
  </si>
  <si>
    <t>Stigning i egenkapitalen, som er genereret af securitiserede aktiver (negativt beløb)</t>
  </si>
  <si>
    <t>Gevinster eller tab på forpligtelser værdiansat til dagsværdi, som skyldes ændringer i instituttets egen kreditsituation</t>
  </si>
  <si>
    <t>Aktiver i ydelsesbaserede pensionskasser (negativt beløb)</t>
  </si>
  <si>
    <t>Et instituts direkte, indirekte og syntetiske besiddelser af egne egentlige kernekapitalinstrumenter (negativt beløb)</t>
  </si>
  <si>
    <t>Direkte, indirekte og syntetiske besiddelser af egentlige kernekapitalinstrumenter i enheder i den finansielle sektor, når disse enheder har en besiddelse i krydsejerskab med instituttet, og ejerskabet er blevet indgået for kunstigt at øge instituttets kapitalgrundlag (negativt beløb)</t>
  </si>
  <si>
    <t>Instituttets relevante direkte, indirekte og syntetiske besiddelser af egentlige kernekapitalinstrumenter i enheder i den finansielle sektor, når instituttet ikke har væsentlige investeringer i disse enheder (beløb over tærsklen på 10 % og fratrukket anerkendte korte positioner) (negativt beløb)</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</si>
  <si>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</si>
  <si>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EU-20a</t>
  </si>
  <si>
    <t>Eksponeringsværdien af følgende poster, som opfylder betingelserne for at kunne tildeles en risikovægt på 1 250 %, hvis instituttet vælger fradragsalternativet</t>
  </si>
  <si>
    <t>EU-20b</t>
  </si>
  <si>
    <t xml:space="preserve">     heraf: kvalificerede andele uden for den finansielle sektor (negativt beløb)</t>
  </si>
  <si>
    <t>EU-20c</t>
  </si>
  <si>
    <t xml:space="preserve">     heraf: securitiseringspositioner (negativt beløb)</t>
  </si>
  <si>
    <t>EU-20d</t>
  </si>
  <si>
    <t xml:space="preserve">     heraf: leveringsrisiko (free deliveries) (negativt beløb)</t>
  </si>
  <si>
    <r>
      <rPr>
        <sz val="9"/>
        <color theme="1"/>
        <rFont val="Calibri"/>
        <family val="2"/>
        <scheme val="minor"/>
      </rPr>
      <t>Udskudte skatteaktiver, som skyldes midlertidige forskelle (beløb over tærsklen på 10 %, fratrukket tilknyttede skatteforpligtelser, hvis betingelserne i artikel 38, stk. 3, i CRR er opfyldt) (negativt beløb)</t>
    </r>
  </si>
  <si>
    <t>Beløb, der overstiger tærsklen på 17,65 % (negativt beløb)</t>
  </si>
  <si>
    <t xml:space="preserve">     heraf: instituttets direkte, indirekte og syntetiske besiddelser af egentlige kernekapitalinstrumenter i enheder i den finansielle sektor, når instituttet har væsentlige investeringer i disse enheder</t>
  </si>
  <si>
    <t xml:space="preserve">     heraf: udskudte skatteaktiver, som skyldes midlertidige forskelle</t>
  </si>
  <si>
    <t>EU-25a</t>
  </si>
  <si>
    <t>Tab i det løbende regnskabsår (negativt beløb)</t>
  </si>
  <si>
    <t>EU-25b</t>
  </si>
  <si>
    <t>Forventet skat vedrørende egentlige kernekapitalposter, undtagen når instituttet behørigt tilpasser størrelsen af de egentlige kernekapitalposter, hvis skatten reducerer det beløb, hvormed disse poster kan anvendes til dækning af risici eller tab (negativt beløb)</t>
  </si>
  <si>
    <r>
      <rPr>
        <sz val="9"/>
        <color theme="1"/>
        <rFont val="Calibri"/>
        <family val="2"/>
        <scheme val="minor"/>
      </rPr>
      <t>Kvalificerede fradrag i hybrid kernekapital, der overstiger instituttets hybride kernekapitalposter (negativt beløb)</t>
    </r>
  </si>
  <si>
    <t>27a</t>
  </si>
  <si>
    <r>
      <rPr>
        <sz val="9"/>
        <color theme="1"/>
        <rFont val="Calibri"/>
        <family val="2"/>
        <scheme val="minor"/>
      </rPr>
      <t>Andre lovpligtige justeringer</t>
    </r>
  </si>
  <si>
    <t>Samlede lovpligtige justeringer af egentlig kernekapital</t>
  </si>
  <si>
    <t xml:space="preserve">Egentlig kernekapital </t>
  </si>
  <si>
    <t>Hybrid kernekapital: instrumenter</t>
  </si>
  <si>
    <t>Kapitalinstrumenter og overkurs ved emission i tilknytning hertil</t>
  </si>
  <si>
    <t>i)</t>
  </si>
  <si>
    <t xml:space="preserve">     heraf: klassificeret som egenkapital i henhold til de gældende regnskabsstandarder</t>
  </si>
  <si>
    <t xml:space="preserve">     heraf: klassificeret som forpligtelser i henhold til de gældende regnskabsstandarder</t>
  </si>
  <si>
    <t>Beløb for kvalificerede poster omhandlet i artikel 484, stk. 4, i CRR og overkurs ved emission i tilknytning hertil underlagt udfasning fra hybrid kernekapital</t>
  </si>
  <si>
    <t>EU-33a</t>
  </si>
  <si>
    <t>Beløb for kvalificerede poster omhandlet i artikel 494a, stk. 1, i CRR underlagt udfasning fra hybrid kernekapital</t>
  </si>
  <si>
    <t>EU-33b</t>
  </si>
  <si>
    <t>Beløb for kvalificerede poster omhandlet i artikel 494b, stk. 1, i CRR underlagt udfasning fra hybrid kernekapital</t>
  </si>
  <si>
    <t xml:space="preserve">Kvalificerende kernekapital indregnet i den konsoliderede hybride kernekapital (herunder minoritetsinteresser, der ikke er indregnet i række 5), som er udstedt af datterselskaber og indehaves af tredjemand </t>
  </si>
  <si>
    <t xml:space="preserve">    heraf: instrumenter udstedt af datterselskaber og underlagt udfasning </t>
  </si>
  <si>
    <t xml:space="preserve">   Hybrid kernekapital før lovpligtige justeringer</t>
  </si>
  <si>
    <t>Hybrid kernekapital: lovpligtige justeringer</t>
  </si>
  <si>
    <t>Et instituts direkte, indirekte og syntetiske besiddelser af egne hybride kernekapitalinstrumenter (negativt beløb)</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</si>
  <si>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</si>
  <si>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</si>
  <si>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Instituttets direkte, indirekte og syntetiske besiddelser af hybride kernekapitalinstrumenter i enheder i den finansielle sektor, når instituttet har væsentlige investeringer i disse enheder (fratrukket anerkendte korte positioner) (negativt beløb)</t>
  </si>
  <si>
    <r>
      <rPr>
        <sz val="9"/>
        <color theme="1"/>
        <rFont val="Calibri"/>
        <family val="2"/>
        <scheme val="minor"/>
      </rPr>
      <t>Kvalificerede fradrag i supplerende kapital, der overstiger instituttets supplerende kapitalposter (negativt beløb)</t>
    </r>
  </si>
  <si>
    <t xml:space="preserve">42a </t>
  </si>
  <si>
    <t>Andre lovpligtige justeringer af den hybride kernekapital</t>
  </si>
  <si>
    <t>Samlede lovpligtige justeringer af hybrid kernekapital</t>
  </si>
  <si>
    <t xml:space="preserve">Hybrid kernekapital </t>
  </si>
  <si>
    <t>Kernekapital (kernekapital = egentlig kernekapital + hybrid kernekapital)</t>
  </si>
  <si>
    <t>Supplerende kapital: instrumenter</t>
  </si>
  <si>
    <t>Beløbet for kvalificerede poster omhandlet i artikel 484, stk. 5, i CRR og overkurs ved emission i tilknytning hertil underlagt udfasning fra supplerende kapital, jf. artikel 486, stk. 4, i CRR</t>
  </si>
  <si>
    <t>EU-47a</t>
  </si>
  <si>
    <t>Beløb for kvalificerede poster omhandlet i artikel 494a, stk. 2, i CRR underlagt udfasning fra supplerende kapital.</t>
  </si>
  <si>
    <t>EU-47b</t>
  </si>
  <si>
    <t>Beløb for kvalificerede poster omhandlet i artikel 494b, stk. 2, i CRR underlagt udfasning fra supplerende kapital.</t>
  </si>
  <si>
    <t xml:space="preserve">Kvalificerende kapitalgrundlagsinstrumenter indregnet i konsolideret supplerende kapital (herunder minoritetsinteresser, der ikke medtages i række 5 eller 34), som er udstedt af datterselskaber og indehaves af tredjemand. </t>
  </si>
  <si>
    <t xml:space="preserve">   heraf: instrumenter udstedt af datterselskaber og underlagt udfasning</t>
  </si>
  <si>
    <t>Kreditrisikojusteringer</t>
  </si>
  <si>
    <t>Supplerende kapital før lovpligtige justeringer</t>
  </si>
  <si>
    <t>Supplerende kapital: lovpligtige justeringer </t>
  </si>
  <si>
    <t>Et instituts direkte, indirekte og syntetiske besiddelser af egne supplerende kapitalinstrumenter og efterstillede lån (negativt beløb)</t>
  </si>
  <si>
    <t>Direkte, indirekte og syntetiske 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</si>
  <si>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 xml:space="preserve">Direkte, indirekte og syntetiske besiddelser af supplerende kapitalinstrumenter i enheder i den finansielle sektor, når instituttet ikke har væsentlige investeringer i disse enheder (beløb over tærsklen på 10 % og fratrukket anerkendte korte positioner) (negativt beløb)  </t>
  </si>
  <si>
    <t>54a</t>
  </si>
  <si>
    <t>Instituttets direkte, indirekte og syntetiske besiddelser af supplerende kapitalinstrumenter og efterstillede lån i enheder i den finansielle sektor, når instituttet har væsentlige investeringer i disse enheder (fratrukket anerkendte korte positioner) (negativt beløb)</t>
  </si>
  <si>
    <r>
      <rPr>
        <sz val="9"/>
        <color theme="1"/>
        <rFont val="Calibri"/>
        <family val="2"/>
        <scheme val="minor"/>
      </rPr>
      <t>EU-56a</t>
    </r>
    <r>
      <rPr>
        <sz val="8"/>
        <color rgb="FF000000"/>
        <rFont val="Calibri"/>
        <family val="2"/>
        <scheme val="minor"/>
      </rPr>
      <t> </t>
    </r>
  </si>
  <si>
    <t>Kvalificerede fradrag i nedskrivningsrelevante passiver, som overstiger instituttets nedskrivningsrelevante passiver (negativt beløb)</t>
  </si>
  <si>
    <t>EU-56b</t>
  </si>
  <si>
    <t>Andre lovpligtige justeringer af den supplerende kapital</t>
  </si>
  <si>
    <t>Samlede lovpligtige justeringer af supplerende kapital</t>
  </si>
  <si>
    <t xml:space="preserve">Supplerende kapital </t>
  </si>
  <si>
    <t>Samlet kapital (samlet kapital = kernekapital + supplerende kapital)</t>
  </si>
  <si>
    <t>Kapitalprocenter og -krav, inkl. buffere </t>
  </si>
  <si>
    <t>Egentlig kernekapital</t>
  </si>
  <si>
    <t>Kernekapital</t>
  </si>
  <si>
    <t>Samlet kapital</t>
  </si>
  <si>
    <t>Instituttets sammenlagte kapitalkrav for egentlig kernekapital</t>
  </si>
  <si>
    <t xml:space="preserve">heraf: krav om kapitalbevaringsbuffer </t>
  </si>
  <si>
    <t xml:space="preserve">heraf: krav om kontracyklisk kapitalbuffer </t>
  </si>
  <si>
    <t xml:space="preserve">heraf: krav om systemisk risikobuffer </t>
  </si>
  <si>
    <t>EU-67a</t>
  </si>
  <si>
    <t>heraf: krav om G-SII-buffer eller O-SII-buffer</t>
  </si>
  <si>
    <t>EU-67b</t>
  </si>
  <si>
    <t>heraf: krav om yderligere kapitalgrundlag til at tage højde for andre risici end risikoen for overdreven gearing (%)</t>
  </si>
  <si>
    <t>Tilgængelig egentlig kernekapital (som en procentdel af risikoeksponeringen) efter opfyldelse af minimumskapitalkrav</t>
  </si>
  <si>
    <t>Nationale minima (hvis forskellige fra Basel III)</t>
  </si>
  <si>
    <r>
      <rPr>
        <sz val="9"/>
        <color theme="1"/>
        <rFont val="Calibri"/>
        <family val="2"/>
        <scheme val="minor"/>
      </rPr>
      <t>Ikke relevant</t>
    </r>
  </si>
  <si>
    <t>Beløb under tærsklerne for fradrag (før risikovægtning) </t>
  </si>
  <si>
    <r>
      <rPr>
        <sz val="9"/>
        <color theme="1"/>
        <rFont val="Calibri"/>
        <family val="2"/>
        <scheme val="minor"/>
      </rPr>
      <t>Direkte og indirekte besiddelser af kapitalgrundlag og nedskrivningsrelevante passiver i enheder i den finansielle sektor, når instituttet ikke har væsentlige investeringer i disse enheder (beløb under tærsklen på 10 % og fratrukket anerkendte korte positioner)</t>
    </r>
    <r>
      <rPr>
        <sz val="9"/>
        <color rgb="FF000000"/>
        <rFont val="Calibri"/>
        <family val="2"/>
        <scheme val="minor"/>
      </rPr>
      <t xml:space="preserve">   </t>
    </r>
  </si>
  <si>
    <t xml:space="preserve">Instituttets direkte og indirekte besiddelser af egentlige kernekapitalinstrumenter i enheder i den finansielle sektor, når instituttet har væsentlige investeringer i disse enheder (beløb under tærsklen på 17,65 % og fratrukket anerkendte korte positioner) </t>
  </si>
  <si>
    <r>
      <rPr>
        <sz val="9"/>
        <color theme="1"/>
        <rFont val="Calibri"/>
        <family val="2"/>
        <scheme val="minor"/>
      </rPr>
      <t>Udskudte skatteaktiver, som skyldes midlertidige forskelle (beløb under tærsklen på 17,65 %, fratrukket tilknyttede skatteforpligtelser, hvis betingelserne i artikel 38, stk. 3, i CRR er opfyldt)</t>
    </r>
  </si>
  <si>
    <t>Gældende lofter over indregning af hensættelser i supplerende kapital </t>
  </si>
  <si>
    <t>Kreditrisikojusteringer indregnet i den supplerende kapital i forbindelse med eksponeringer opgjort efter standardmetoden (før anvendelse af loftet)</t>
  </si>
  <si>
    <t>Loft for indregning af kreditrisikojusteringer i den supplerende kapital opgjort efter standardmetoden</t>
  </si>
  <si>
    <t>Kreditrisikojusteringer indregnet i den supplerende kapital i forbindelse med eksponeringer opgjort efter IRB-metoden (før anvendelse af loftet)</t>
  </si>
  <si>
    <t>Loft for indregning af kreditrisikojusteringer i den supplerende kapital opgjort efter IRB-metoden</t>
  </si>
  <si>
    <t>Kapitalinstrumenter underlagt udfasning (kun i perioden fra den 1. januar 2014 til den 1. januar 2022)</t>
  </si>
  <si>
    <t>Nuværende loft over egentlige kernekapitalinstrumenter underlagt udfasning</t>
  </si>
  <si>
    <t>Beløb ikke indregnet i den egentlige kernekapital som følge af loft (overskridelse af loft efter indfrielse og forfald)</t>
  </si>
  <si>
    <t>Nuværende loft for hybride kernekapitalinstrumenter underlagt udfasning</t>
  </si>
  <si>
    <t>Beløb ikke indregnet i den hybride kernekapital som følge af loft (overskridelse af loft efter indfrielse og forfald)</t>
  </si>
  <si>
    <t>Nuværende loft for supplerende kapitalinstrumenter underlagt udfasning</t>
  </si>
  <si>
    <t>Beløb ikke indregnet i den supplerende kapital som følge af loft (overskridelse af loft efter indfrielse og forfald)</t>
  </si>
  <si>
    <t>EU-9a</t>
  </si>
  <si>
    <t>EU-9b</t>
  </si>
  <si>
    <t>Skema EU-CCyB1 — Geografisk fordeling af krediteksponeringer, der er relevante for beregningen af den kontracykliske kapitalbuffer</t>
  </si>
  <si>
    <t>Skema EU-CCyB2 — Størrelsen af den institutspecifikke kontracykliske kapitalbuffer</t>
  </si>
  <si>
    <t>i</t>
  </si>
  <si>
    <t>j</t>
  </si>
  <si>
    <t>k</t>
  </si>
  <si>
    <t>l</t>
  </si>
  <si>
    <t>m</t>
  </si>
  <si>
    <t>Generelle krediteksponeringer</t>
  </si>
  <si>
    <t>Relevante krediteksponeringer — Markedsrisiko</t>
  </si>
  <si>
    <t>Securitiseringseksponeringer — Værdi af eksponeringer uden for handelsbeholdningen</t>
  </si>
  <si>
    <t>Kapitalgrundlagskrav</t>
  </si>
  <si>
    <t xml:space="preserve">Risikovægtede eksponeringer </t>
  </si>
  <si>
    <t>Vægte for kapitalgrundlagskrav
(%)</t>
  </si>
  <si>
    <t>Kontracyklisk buffersats
(%)</t>
  </si>
  <si>
    <t>Eksponeringsværdi opgjort efter standardmetoden</t>
  </si>
  <si>
    <t>Eksponeringsværdi opgjort efter IRB-metoden</t>
  </si>
  <si>
    <t>Sum af lange og korte positioner af eksponeringer i handelsbeholdningen for standardmetoden</t>
  </si>
  <si>
    <t>Værdi af eksponeringer i handelsbeholdningen for interne modeller</t>
  </si>
  <si>
    <t>Relevante krediteksponeringer — Kreditrisiko</t>
  </si>
  <si>
    <t xml:space="preserve">Relevante krediteksponeringer — Securitiseringspositioner uden for handelsbeholdningen </t>
  </si>
  <si>
    <t xml:space="preserve"> I alt</t>
  </si>
  <si>
    <t>010</t>
  </si>
  <si>
    <t>Opdeling efter land:</t>
  </si>
  <si>
    <t>020</t>
  </si>
  <si>
    <t>Institutspecifik kontracyklisk kapitalbuffersats</t>
  </si>
  <si>
    <t>Krav til den institutspecifikke kontracykliske kapitalbuffer</t>
  </si>
  <si>
    <t>Danmark</t>
  </si>
  <si>
    <t>Skema EU LR1 - LRSum: Afstemning mellem regnskabsmæssige aktiver og gearingsgradrelevante eksponeringer — oversigt</t>
  </si>
  <si>
    <t>Skema EU LR2 - LRCom Oplysninger om gearingsgrad — fælles regler</t>
  </si>
  <si>
    <t>Skema EU LR3 - LRSpl: Opdeling af balanceførte eksponeringer (ekskl. derivater, SFT'er og ikke medregnede eksponeringer)</t>
  </si>
  <si>
    <t>Relevant beløb</t>
  </si>
  <si>
    <t>Samlede aktiver, jf. de offentliggjorte regnskaber</t>
  </si>
  <si>
    <t>Justering for enheder, der er konsolideret med henblik på regnskabsførelse, men som ikke er omfattet af den tilsynsmæssige konsolidering</t>
  </si>
  <si>
    <t>(Justeringer for securitiserede eksponeringer, der opfylder de operationelle krav for anerkendelse af væsentlig risikooverførsel)</t>
  </si>
  <si>
    <r>
      <rPr>
        <sz val="11"/>
        <color theme="1"/>
        <rFont val="Calibri"/>
        <family val="2"/>
        <scheme val="minor"/>
      </rPr>
      <t>(Justering for midlertidig fritagelse af eksponeringer mod centralbanker (hvis det er relevant))</t>
    </r>
  </si>
  <si>
    <t>(Justering for aktiver under forvaltning (fiduciary assets), som indregnes på instituttets balance ifølge de gældende regnskabsregler, men ikke medtages i det samlede eksponeringsmål. jf. artikel 429a, stk. 1, litra i), i CRR)</t>
  </si>
  <si>
    <t>Justering for almindelige køb og salg af finansielle aktiver, der bogføres efter handelsdatoen</t>
  </si>
  <si>
    <t>Justering for kvalificerede cash pool-transaktioner</t>
  </si>
  <si>
    <r>
      <rPr>
        <sz val="11"/>
        <color rgb="FF000000"/>
        <rFont val="Calibri"/>
        <family val="2"/>
        <scheme val="minor"/>
      </rPr>
      <t>Justering for afledte finansielle instrumenter</t>
    </r>
  </si>
  <si>
    <t>Justering for værdipapirfinansieringstransaktioner (SFT'er)</t>
  </si>
  <si>
    <t>Justering for ikkebalanceførte poster (dvs. konvertering til ikkebalanceførte eksponeringer i form af kreditækvivalente beløb)</t>
  </si>
  <si>
    <t>(Justering for justeringer som følge af forsigtig værdiansættelse og specifikke og generelle hensættelser, der har reduceret kernekapitalen)</t>
  </si>
  <si>
    <t>EU-11a</t>
  </si>
  <si>
    <t>(Justering for eksponeringer udelukket fra det samlede eksponeringsmål, jf. artikel 429a, stk. 1, litra c), i CRR)</t>
  </si>
  <si>
    <t>EU-11b</t>
  </si>
  <si>
    <t>(Justering for eksponeringer udelukket fra det samlede eksponeringsmål, jf. artikel 429a, stk. 1, litra j), i CRR)</t>
  </si>
  <si>
    <t>Andre justeringer</t>
  </si>
  <si>
    <r>
      <rPr>
        <b/>
        <sz val="11"/>
        <color theme="1"/>
        <rFont val="Calibri"/>
        <family val="2"/>
        <scheme val="minor"/>
      </rPr>
      <t>Samlet eksponeringsmål</t>
    </r>
  </si>
  <si>
    <t>Gearingsgradrelevante eksponeringer, jf. CRR</t>
  </si>
  <si>
    <t>Balanceførte eksponeringer (ekskl. derivater og SFT'er)</t>
  </si>
  <si>
    <t>Balanceførte poster (ekskl. derivater og SFT'er, men inkl. sikkerhedsstillelse)</t>
  </si>
  <si>
    <t>Gross-up for sikkerhedsstillelse i forbindelse med derivatkontrakter, hvis fratrukket i de balanceførte aktiver i henhold til de gældende regnskabsregler</t>
  </si>
  <si>
    <t>(Fradrag af aktiver i form af fordringer for likvid variationsmargen stillet i forbindelse med derivattransaktioner)</t>
  </si>
  <si>
    <t>(Justering for værdipapirer modtaget i værdipapirfinansieringstransaktioner, og som indregnes som aktiver)</t>
  </si>
  <si>
    <t>(Generelle kreditrisikojusteringer i forbindelse med balanceførte poster)</t>
  </si>
  <si>
    <t>(Værdien af aktiver fratrukket ved opgørelsen af kernekapital)</t>
  </si>
  <si>
    <t xml:space="preserve">Samlede balanceførte eksponeringer (ekskl. derivater og SFT'er) </t>
  </si>
  <si>
    <t>Derivateksponeringer</t>
  </si>
  <si>
    <t>Genanskaffelsesomkostninger i forbindelse med derivattransaktioner opgjort efter standardmetoden for modpartskreditrisiko (dvs. fratrukket godkendt likvid variationsmargen)</t>
  </si>
  <si>
    <t>EU-8a</t>
  </si>
  <si>
    <t>Undtagelse for derivater: genanskaffelsesomkostningsandel i henhold til den forenklede standardmetode</t>
  </si>
  <si>
    <t xml:space="preserve">Tillægsbeløb for potentiel fremtidig eksponering knyttet til derivattransaktioner opgjort efter standardmetoden for modpartskreditrisiko </t>
  </si>
  <si>
    <t>Undtagelse for derivater: andel af potentiel fremtidig eksponering i henhold til den forenklede standardmetode</t>
  </si>
  <si>
    <t>Eksponering bestemt efter den oprindelige eksponeringsmetode</t>
  </si>
  <si>
    <t>(Ikke medregnet CCP-element af kundeclearede handelseksponeringer) (standardmetode for modpartskreditrisiko)</t>
  </si>
  <si>
    <t>EU-10a</t>
  </si>
  <si>
    <r>
      <rPr>
        <sz val="11"/>
        <color theme="1"/>
        <rFont val="Calibri"/>
        <family val="2"/>
        <scheme val="minor"/>
      </rPr>
      <t>(Ikke medregnet CCP-element af kundeclearede handelseksponeringer) (forenklet standardmetode)</t>
    </r>
  </si>
  <si>
    <t>EU-10b</t>
  </si>
  <si>
    <r>
      <rPr>
        <sz val="11"/>
        <color theme="1"/>
        <rFont val="Calibri"/>
        <family val="2"/>
        <scheme val="minor"/>
      </rPr>
      <t>(-) Ikke medregnet CCP-element af kundeclearede handelseksponeringer (oprindelig eksponeringsmetode)</t>
    </r>
  </si>
  <si>
    <t>Justeret faktisk nominel værdi af solgte kreditderivater</t>
  </si>
  <si>
    <t>(Justerede faktiske nominelle værdijusteringer og fradrag af tillæg for solgte kreditderivater)</t>
  </si>
  <si>
    <t xml:space="preserve">Derivateksponeringer i alt </t>
  </si>
  <si>
    <t>Eksponeringer i forbindelse med værdipapirfinansieringstransaktioner (SFT)</t>
  </si>
  <si>
    <t>Bruttoaktiver, der er indgået i SFT'er (uden netting), efter justering for regnskabsmæssige transaktioner vedrørende salg</t>
  </si>
  <si>
    <t>(Kontantgæld og kontantfordringer (nettede beløb) hidrørende fra bruttoaktiver, der er indgået i SFT'er)</t>
  </si>
  <si>
    <t>Eksponering mod modpartskreditrisiko for SFT-aktiver</t>
  </si>
  <si>
    <t>EU-16a</t>
  </si>
  <si>
    <t>Undtagelse for SFT'er: Modpartskreditrisikoeksponering, jf. artikel 429e, stk. 5, og artikel 222 i CRR</t>
  </si>
  <si>
    <t>Eksponeringer i forbindelse med agenttransaktioner</t>
  </si>
  <si>
    <t>EU-17a</t>
  </si>
  <si>
    <t>(Ikke medregnet CCP-element af kundeclearet SFT-eksponering)</t>
  </si>
  <si>
    <t>Eksponeringer i forbindelse med værdipapirfinansieringstransaktioner i alt</t>
  </si>
  <si>
    <t xml:space="preserve">Andre ikkebalanceførte eksponeringer </t>
  </si>
  <si>
    <t>Ikkebalanceførte eksponeringer til den notionelle bruttoværdi</t>
  </si>
  <si>
    <t>(Justeringer for konvertering til kreditækvivalente beløb)</t>
  </si>
  <si>
    <r>
      <rPr>
        <sz val="11"/>
        <color theme="1"/>
        <rFont val="Calibri"/>
        <family val="2"/>
        <scheme val="minor"/>
      </rPr>
      <t>(Generelle hensættelser fratrukket ved opgørelsen af kernekapital og specifikke hensættelser i forbindelse med ikkebalanceførte eksponeringer)</t>
    </r>
  </si>
  <si>
    <t>Ikkebalanceførte eksponeringer</t>
  </si>
  <si>
    <t>Udelukkede eksponeringer</t>
  </si>
  <si>
    <t>EU-22a</t>
  </si>
  <si>
    <t>(Eksponeringer, som udelukkes fra det samlede eksponeringsmål i overensstemmelse med artikel 429a, stk. 1, litra c), i CRR)</t>
  </si>
  <si>
    <t>EU-22b</t>
  </si>
  <si>
    <t>Eksponeringer, som udelukkes i overensstemmelse med artikel 429a, stk. 1, litra j), i CRR (balanceførte og ikkebalanceførte)</t>
  </si>
  <si>
    <t>EU-22c</t>
  </si>
  <si>
    <t>Offentlige udviklingsbankers (eller enheders) udelukkede eksponeringer — Offentlige investeringer</t>
  </si>
  <si>
    <t>EU-22d</t>
  </si>
  <si>
    <t>Offentlige udviklingsbankers (eller enheders) udelukkede eksponeringer — Støttelån</t>
  </si>
  <si>
    <t>EU-22e</t>
  </si>
  <si>
    <r>
      <rPr>
        <sz val="11"/>
        <color theme="1"/>
        <rFont val="Calibri"/>
        <family val="2"/>
        <scheme val="minor"/>
      </rPr>
      <t>(Udelukkede eksponeringer fra pass through-støttelån gennem ikkeoffentlige udviklingskreditinstitutter (eller (enheder))</t>
    </r>
  </si>
  <si>
    <t>EU-22f</t>
  </si>
  <si>
    <t xml:space="preserve">(Udelukkede garanterede dele af eksponeringer, der følger af eksportkreditter) </t>
  </si>
  <si>
    <t>EU-22g</t>
  </si>
  <si>
    <t>(Udelukket overskydende sikkerhedsstillelse deponeret hos trepartsagenter)</t>
  </si>
  <si>
    <t>EU-22h</t>
  </si>
  <si>
    <t>(Udelukkede bankmæssige accessoriske tjenesteydelser fra værdipapircentraler/institutter i henhold til artikel 429a, stk. 1, litra o), i CRR</t>
  </si>
  <si>
    <t>EU-22i</t>
  </si>
  <si>
    <t>(Udelukkede bankmæssige accessoriske tjenesteydelser fra udpegede institutter i henhold til artikel 429a, stk. 1, litra p), i CRR</t>
  </si>
  <si>
    <t>EU-22j</t>
  </si>
  <si>
    <t>(Reduktion af eksponeringsværdien af forfinansieringslån eller overgangslån)</t>
  </si>
  <si>
    <t>EU-22k</t>
  </si>
  <si>
    <t>(Udelukkede eksponeringer i alt)</t>
  </si>
  <si>
    <t>Kapitalmål og samlet eksponeringsmål</t>
  </si>
  <si>
    <r>
      <rPr>
        <sz val="11"/>
        <color theme="1"/>
        <rFont val="Calibri"/>
        <family val="2"/>
        <scheme val="minor"/>
      </rPr>
      <t>Gearingsgrad (%)</t>
    </r>
  </si>
  <si>
    <t>EU-25</t>
  </si>
  <si>
    <t>Gearingsgrad (ekskl. virkningen af undtagelsen af offentlige investeringer og støttelån) (%)</t>
  </si>
  <si>
    <t>25a</t>
  </si>
  <si>
    <r>
      <rPr>
        <sz val="11"/>
        <color theme="1"/>
        <rFont val="Calibri"/>
        <family val="2"/>
        <scheme val="minor"/>
      </rPr>
      <t>Gearingsgrad (ekskl. virkningen af midlertidige undtagelser af centralbankreserver) (%)</t>
    </r>
  </si>
  <si>
    <t>Lovpligtig minimumsgearingsgradkrav (%)</t>
  </si>
  <si>
    <t>EU-26a</t>
  </si>
  <si>
    <t>EU-26b</t>
  </si>
  <si>
    <t xml:space="preserve">     heraf: i form af egentlig kernekapital</t>
  </si>
  <si>
    <t>EU-27a</t>
  </si>
  <si>
    <t>Valg af overgangsordninger og relevante eksponeringer</t>
  </si>
  <si>
    <r>
      <rPr>
        <sz val="11"/>
        <color theme="1"/>
        <rFont val="Calibri"/>
        <family val="2"/>
        <scheme val="minor"/>
      </rPr>
      <t>EU-27b</t>
    </r>
  </si>
  <si>
    <t>Valg af overgangsordninger for definitionen af kapitalmålet</t>
  </si>
  <si>
    <t>Offentliggørelse af gennemsnitsværdier</t>
  </si>
  <si>
    <r>
      <rPr>
        <sz val="11"/>
        <color theme="1"/>
        <rFont val="Calibri"/>
        <family val="2"/>
        <scheme val="minor"/>
      </rPr>
      <t>Gennemsnit af daglige værdier af bruttoaktiver, der er indgået i SFT'er, efter justering for regnskabsmæssige transaktioner vedrørende salg og modregning af relaterede likvide forpligtelser og likvide tilgodehavender</t>
    </r>
  </si>
  <si>
    <t>Kvartalsultimoværdi af bruttoaktiver, der er indgået i SFT'er, efter justering for regnskabsmæssige transaktioner vedrørende salg og modregning af relaterede likvide forpligtelser og likvide tilgodehavender</t>
  </si>
  <si>
    <r>
      <rPr>
        <sz val="11"/>
        <color theme="1"/>
        <rFont val="Calibri"/>
        <family val="2"/>
        <scheme val="minor"/>
      </rPr>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r>
  </si>
  <si>
    <t>30a</t>
  </si>
  <si>
    <r>
      <rPr>
        <sz val="11"/>
        <color theme="1"/>
        <rFont val="Calibri"/>
        <family val="2"/>
        <scheme val="minor"/>
      </rPr>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r>
  </si>
  <si>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</si>
  <si>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31a</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</si>
  <si>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</si>
  <si>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EU-1</t>
  </si>
  <si>
    <t>Samlede balanceførte eksponeringer (ekskl. derivater, SFT'er og ikke medregnede eksponeringer), heraf:</t>
  </si>
  <si>
    <t>EU-2</t>
  </si>
  <si>
    <t>Eksponeringer i handelsbeholdningen</t>
  </si>
  <si>
    <t>EU-3</t>
  </si>
  <si>
    <t>Eksponeringer uden for handelsbeholdningen, heraf:</t>
  </si>
  <si>
    <t>EU-4</t>
  </si>
  <si>
    <t>Særligt dækkede obligationer og særligt dækkede realkreditobligationer</t>
  </si>
  <si>
    <t>EU-5</t>
  </si>
  <si>
    <t>Eksponeringer, der behandles som eksponeringer mod stater</t>
  </si>
  <si>
    <t>EU-6</t>
  </si>
  <si>
    <t>Eksponeringer mod regionale myndigheder, multilaterale udviklingsbanker, internationale organisationer og offentlige enheder, der ikke behandles som stater</t>
  </si>
  <si>
    <t>EU-7</t>
  </si>
  <si>
    <t>Institutter</t>
  </si>
  <si>
    <t>EU-8</t>
  </si>
  <si>
    <t>Sikret ved pant i fast ejendom</t>
  </si>
  <si>
    <t>EU-9</t>
  </si>
  <si>
    <t>Detaileksponeringer</t>
  </si>
  <si>
    <t>EU-10</t>
  </si>
  <si>
    <t>Selskaber</t>
  </si>
  <si>
    <t>EU-11</t>
  </si>
  <si>
    <t>Misligholdte eksponeringer</t>
  </si>
  <si>
    <t>EU-12</t>
  </si>
  <si>
    <t>Andre eksponeringer (f.eks. aktieeksponeringer, securitiseringer og andre aktiver, der ikke er gældsforpligtelser)</t>
  </si>
  <si>
    <t>Skema EU LIQ1 - Kvantitative oplysninger om likviditetsdækningsgrad</t>
  </si>
  <si>
    <t xml:space="preserve">Skema EU LIQ2: Net stable funding ratio </t>
  </si>
  <si>
    <t>Uvægtet værdi i alt (gennemsnit)</t>
  </si>
  <si>
    <t>Vægtet værdi i alt (gennemsnit)</t>
  </si>
  <si>
    <t>EU 1a</t>
  </si>
  <si>
    <t>Kvartalsafslutning den (DD måned ÅÅÅÅ)</t>
  </si>
  <si>
    <t>EU 1b</t>
  </si>
  <si>
    <t>Antal datapunkter, der anvendes i beregningen af gennemsnit</t>
  </si>
  <si>
    <t>LIKVIDE AKTIVER AF HØJ KVALITET</t>
  </si>
  <si>
    <t>Likvide aktiver af høj kvalitet (HQLA) i alt</t>
  </si>
  <si>
    <t>UDGÅENDE PENGESTRØMME</t>
  </si>
  <si>
    <t>Detailindskud og indskud fra små erhvervskunder, heraf:</t>
  </si>
  <si>
    <t>Stabile indskud</t>
  </si>
  <si>
    <t>Mindre stabile indskud</t>
  </si>
  <si>
    <t>Usikret engrosfinansiering</t>
  </si>
  <si>
    <t>Transaktionsrelaterede indskud (alle modparter) og indskud i netværk af kooperative banker</t>
  </si>
  <si>
    <t>Ikketransaktionsrelaterede indskud (alle modparter)</t>
  </si>
  <si>
    <t>Usikret gæld</t>
  </si>
  <si>
    <t>Sikret engrosfinansiering</t>
  </si>
  <si>
    <t>Yderligere krav</t>
  </si>
  <si>
    <t>Udgående pengestrømme vedrørende derivateksponeringer og andre krav til sikkerhedsstillelse</t>
  </si>
  <si>
    <t>Udgående pengestrømme vedrørende tabt finansiering fra gældsprodukter</t>
  </si>
  <si>
    <t>Kredit- og likviditetsfaciliteter</t>
  </si>
  <si>
    <t>Andre kontraktmæssige finansieringsforpligtelser</t>
  </si>
  <si>
    <t>Øvrige forpligtelser vedrørende eventualfinansiering</t>
  </si>
  <si>
    <t>UDGÅENDE PENGESTRØMME I ALT</t>
  </si>
  <si>
    <t>INDGÅENDE PENGESTRØMME</t>
  </si>
  <si>
    <t>Sikrede udlån (f.eks. reverse repos)</t>
  </si>
  <si>
    <t>Indgående pengestrømme fra eksponeringer, der ikke er misligholdt</t>
  </si>
  <si>
    <t>Andre indgående pengestrømme</t>
  </si>
  <si>
    <t>EU-19a</t>
  </si>
  <si>
    <t>(Forskel mellem vægtede indgående pengestrømme i alt og vægtede udgående pengestrømme i alt, som opstår som følge af transaktioner i tredjelande, hvor der er overførselsrestriktioner, eller som er denomineret i ikkekonvertible valutaer)</t>
  </si>
  <si>
    <t>EU-19b</t>
  </si>
  <si>
    <t>(Overskydende indgående pengestrømme fra et tilknyttet specialiseret kreditinstitut)</t>
  </si>
  <si>
    <t>INDGÅENDE PENGESTRØMME I ALT</t>
  </si>
  <si>
    <t>Helt undtagne indgående pengestrømme</t>
  </si>
  <si>
    <t>Indgående pengestrømme underlagt loft på 90 %</t>
  </si>
  <si>
    <t>Indgående pengestrømme underlagt loft på 75 %</t>
  </si>
  <si>
    <t xml:space="preserve">JUSTERET VÆRDI I ALT </t>
  </si>
  <si>
    <t>EU-21</t>
  </si>
  <si>
    <t>LIKVIDITETSBUFFER</t>
  </si>
  <si>
    <t>UDGÅENDE NETTOPENGESTRØMME I ALT</t>
  </si>
  <si>
    <t>LIKVIDITETSDÆKNINGSGRAD</t>
  </si>
  <si>
    <t>I overensstemmelse med artikel 451a, stk. 3, i CRR</t>
  </si>
  <si>
    <t>(i valutabeløb)</t>
  </si>
  <si>
    <t>Uvægtet værdi efter restløbetid</t>
  </si>
  <si>
    <t>Vægtet værdi</t>
  </si>
  <si>
    <t>Ingen løbetid</t>
  </si>
  <si>
    <t>&lt; 6 måneder</t>
  </si>
  <si>
    <t>6 måneder til &lt; 1 år</t>
  </si>
  <si>
    <t>≥ 1 år</t>
  </si>
  <si>
    <t>Poster vedrørende tilgængelig stabil finansiering (ASF)</t>
  </si>
  <si>
    <t>Kapitalposter og -instrumenter</t>
  </si>
  <si>
    <t>Andre kapitalinstrumenter</t>
  </si>
  <si>
    <t>Detailindskud</t>
  </si>
  <si>
    <t>Engrosfinansiering:</t>
  </si>
  <si>
    <t>Transaktionsrelaterede indskud</t>
  </si>
  <si>
    <t>Anden engrosfinansiering</t>
  </si>
  <si>
    <t>Indbyrdes afhængige passiver</t>
  </si>
  <si>
    <t xml:space="preserve">Andre passiver: </t>
  </si>
  <si>
    <t xml:space="preserve">NSFR-derivatforpligtelser </t>
  </si>
  <si>
    <t>Alle øvrige passiver og kapitalinstrumenter, der ikke indgår i ovenstående kategorier</t>
  </si>
  <si>
    <t>Tilgængelig stabil finansiering (ASF) i alt</t>
  </si>
  <si>
    <t>Poster vedrørende krævet stabil finansiering (RSF)</t>
  </si>
  <si>
    <t>EU-15a</t>
  </si>
  <si>
    <t>Aktiver, der er behæftede for en restløbetid på et år eller mere i en sikkerhedspulje</t>
  </si>
  <si>
    <t>Indskud i andre finansielle institutter til transaktionsrelaterede formål</t>
  </si>
  <si>
    <t>Ikkemisligholdte lån og værdipapirer:</t>
  </si>
  <si>
    <t>Værdipapirfinansieringstransaktioner, der ikke er misligholdt, med finansielle kunder, og som er sikret ved likvide aktiver af høj kvalitet på niveau 1, der er underlagt et haircut på 0 %</t>
  </si>
  <si>
    <r>
      <rPr>
        <i/>
        <sz val="11"/>
        <color theme="1"/>
        <rFont val="Calibri"/>
        <family val="2"/>
        <scheme val="minor"/>
      </rPr>
      <t>Værdipapirfinansieringstransaktioner med finansielle kunder, der ikke er misligholdt, og som er sikret ved andre aktiver og lån og forskud til finansieringsinstitutter</t>
    </r>
  </si>
  <si>
    <r>
      <rPr>
        <i/>
        <sz val="11"/>
        <color theme="1"/>
        <rFont val="Calibri"/>
        <family val="2"/>
        <scheme val="minor"/>
      </rPr>
      <t>Lån, der ikke er misligholdt, til ikkefinansielle erhvervskunder, til detailkunder og små erhvervskunder og til stater og offentlige enheder, heraf:</t>
    </r>
  </si>
  <si>
    <t>Med en risikovægt på mindre end eller lig med 35 % i henhold til Basel II-standardmetoden for kreditrisiko</t>
  </si>
  <si>
    <t xml:space="preserve">Ikkemisligholdte realkreditlån i beboelsesejendomme, heraf: </t>
  </si>
  <si>
    <t>Andre lån og værdipapirer, der ikke er misligholdt, og som ikke kan betragtes som likvide aktiver af høj kvalitet, herunder børsnoterede aktier og balanceførte handelsfinansieringsprodukter</t>
  </si>
  <si>
    <t>Indbyrdes afhængige aktiver</t>
  </si>
  <si>
    <t xml:space="preserve">Andre aktiver: </t>
  </si>
  <si>
    <t>Fysisk handlede råvarer</t>
  </si>
  <si>
    <t>Aktiver stillet som initialmargen for derivatkontrakter og bidrag til CCP'ers misligholdelsesfonde</t>
  </si>
  <si>
    <r>
      <rPr>
        <i/>
        <sz val="11"/>
        <color theme="1"/>
        <rFont val="Calibri"/>
        <family val="2"/>
        <scheme val="minor"/>
      </rPr>
      <t>NSFR-derivataktiver</t>
    </r>
    <r>
      <rPr>
        <sz val="11"/>
        <color theme="1"/>
        <rFont val="Calibri"/>
        <family val="2"/>
        <scheme val="minor"/>
      </rPr>
      <t> </t>
    </r>
  </si>
  <si>
    <t xml:space="preserve">NSFR-derivatforpligtelser før fradrag af stillet variationsmargen </t>
  </si>
  <si>
    <t>Alle øvrige aktiver, der ikke indgår i ovenstående kategorier</t>
  </si>
  <si>
    <t>Ikkebalanceførte poster</t>
  </si>
  <si>
    <t>Net stable funding ratio (%)</t>
  </si>
  <si>
    <t xml:space="preserve"> Mislighold som NPE eksponeringer. Eller misligholdt som forfalden betaling, fordi dem medtager vi jo ikke?</t>
  </si>
  <si>
    <t>LCR skema 73 Row :</t>
  </si>
  <si>
    <t>Skema EU CR1-A: Løbetid på eksponeringer</t>
  </si>
  <si>
    <t>Skema EU CR2: Ændringer i beholdningen af misligholdte lån og forskud</t>
  </si>
  <si>
    <t>Skema EU CR2a: Ændringer i beholdningen af misligholdte lån og forskud og akkumulerede inddrevne nettobeløb i forbindelse hermed</t>
  </si>
  <si>
    <t>Skema EU CQ1: Kreditkvalitet af eksponeringer med kreditlempelser</t>
  </si>
  <si>
    <t>Skema EU CQ2: Kvalitet af kreditlempelser</t>
  </si>
  <si>
    <t>Skema EU CQ3: Kreditkvalitet af ikkemisligholdte og misligholdte eksponeringer efter forfaldsdage</t>
  </si>
  <si>
    <t xml:space="preserve">Skema EU CQ6: Værdiansættelse af sikkerhedsstillelse - lån og forskud </t>
  </si>
  <si>
    <t xml:space="preserve">Skema EU CQ7: Sikkerhedsstillelse opnået gennem overtagelse og fuldbyrdelsesprocesser </t>
  </si>
  <si>
    <t>Skema EU CQ8: Sikkerhedsstillelse opnået gennem overtagelse og fuldbyrdelsesprocesser – opdeling efter årgang</t>
  </si>
  <si>
    <t xml:space="preserve">Skema EU CR1: Ikkemisligholdte og misligholdte eksponeringer og dertil knyttede bestemmelser. </t>
  </si>
  <si>
    <t>n</t>
  </si>
  <si>
    <t>o</t>
  </si>
  <si>
    <t>Regnskabsmæssig bruttoværdi/nominel værdi</t>
  </si>
  <si>
    <t>Akkumulerede værdiforringelser, akkumulerede negative ændringer i dagsværdi på grund af kreditrisiko og hensættelser</t>
  </si>
  <si>
    <t>Akkumulerede delvise afskrivninger</t>
  </si>
  <si>
    <t>Sikkerhedsstillelser og modtagne finansielle garantier</t>
  </si>
  <si>
    <t>Ikkemisligholdte eksponeringer</t>
  </si>
  <si>
    <t>Ikkemisligholdte eksponeringer – akkumulerede værdiforringelser og hensættelser</t>
  </si>
  <si>
    <t xml:space="preserve">Misligholdte eksponeringer – akkumulerede værdiforringelser, akkumulerede negative ændringer i dagsværdi på grund af kreditrisiko og hensættelser </t>
  </si>
  <si>
    <t>På ikkemisligholdte eksponeringer</t>
  </si>
  <si>
    <t>På misligholdte eksponeringer</t>
  </si>
  <si>
    <t>Heraf fase 1</t>
  </si>
  <si>
    <t>Heraf fase 2</t>
  </si>
  <si>
    <t>Heraf fase 3</t>
  </si>
  <si>
    <t>005</t>
  </si>
  <si>
    <t>Kassebeholdninger i centralbanker og andre anfordringsindskud</t>
  </si>
  <si>
    <t>Lån og forskud</t>
  </si>
  <si>
    <t>Centralbanker</t>
  </si>
  <si>
    <t>030</t>
  </si>
  <si>
    <t>Centralregeringer</t>
  </si>
  <si>
    <t>040</t>
  </si>
  <si>
    <t>Kreditinstitutter</t>
  </si>
  <si>
    <t>050</t>
  </si>
  <si>
    <t>Andre finansielle selskaber</t>
  </si>
  <si>
    <t>060</t>
  </si>
  <si>
    <t>Ikkefinansielle selskaber</t>
  </si>
  <si>
    <t>070</t>
  </si>
  <si>
    <t xml:space="preserve">          Heraf SMV'er</t>
  </si>
  <si>
    <t>080</t>
  </si>
  <si>
    <t>Husstande</t>
  </si>
  <si>
    <t>090</t>
  </si>
  <si>
    <t>Gældsværdipapirer</t>
  </si>
  <si>
    <t>100</t>
  </si>
  <si>
    <t>110</t>
  </si>
  <si>
    <t>120</t>
  </si>
  <si>
    <t>130</t>
  </si>
  <si>
    <t>140</t>
  </si>
  <si>
    <t>150</t>
  </si>
  <si>
    <t>160</t>
  </si>
  <si>
    <t>170</t>
  </si>
  <si>
    <t>180</t>
  </si>
  <si>
    <t>190</t>
  </si>
  <si>
    <t>200</t>
  </si>
  <si>
    <t>210</t>
  </si>
  <si>
    <t>220</t>
  </si>
  <si>
    <t>Nettoeksponeringsværdi</t>
  </si>
  <si>
    <t>På anfordring</t>
  </si>
  <si>
    <t>&lt;= 1 år</t>
  </si>
  <si>
    <t>&gt; 1 år &lt;= 5 år</t>
  </si>
  <si>
    <t>&gt; 5 år</t>
  </si>
  <si>
    <t>Ingen fastsat løbetid</t>
  </si>
  <si>
    <t>Heraf misligholdte</t>
  </si>
  <si>
    <t>Ikke forfaldne eller forfaldne ≤ 30 dage</t>
  </si>
  <si>
    <t>Forfaldne &gt; 30 dage ≤ 90 dage</t>
  </si>
  <si>
    <t>Betales sandsynligvis ikke, men er ikke forfaldne eller har været forfaldne i ≤ 90 dage</t>
  </si>
  <si>
    <t xml:space="preserve">Forfaldne
&gt; 90 dage
≤ 180 dage
</t>
  </si>
  <si>
    <t xml:space="preserve">Forfaldne
&gt; 180 dage
≤ 1 år
</t>
  </si>
  <si>
    <t xml:space="preserve">Forfaldne
&gt; 1 år ≤ 2 år
</t>
  </si>
  <si>
    <t xml:space="preserve">Forfaldne
&gt; 2 år ≤ 5 år
</t>
  </si>
  <si>
    <t xml:space="preserve">Forfaldne
&gt; 5 år ≤ 7 år
</t>
  </si>
  <si>
    <t>Forfaldne &gt; 7 år</t>
  </si>
  <si>
    <t xml:space="preserve">      Heraf SMV'er</t>
  </si>
  <si>
    <t>Akkumuleret værdiforringelse</t>
  </si>
  <si>
    <t>Akkumulerede negative ændringer i dagsværdi på grund af kreditrisiko vedrørende misligholdte eksponeringer</t>
  </si>
  <si>
    <t>Heraf misligholdte eksponeringer</t>
  </si>
  <si>
    <t>Balanceførte eksponeringer</t>
  </si>
  <si>
    <t>Skema EU CQ5: Kreditkvalitet af lån og forskud til ikkefinansielle selskaber efter branche</t>
  </si>
  <si>
    <t>Regnskabsmæssig bruttoværdi</t>
  </si>
  <si>
    <t>Heraf lån og forskud, der testes for værdiforringelse</t>
  </si>
  <si>
    <t>Landbrug, skovbrug og fiskeri</t>
  </si>
  <si>
    <t>Råstofudvinding</t>
  </si>
  <si>
    <t>Fremstilling</t>
  </si>
  <si>
    <t>El-, gas- og fjernvarmeforsyning</t>
  </si>
  <si>
    <t>Vandforsyning</t>
  </si>
  <si>
    <t>Bygge- og anlægsvirksomhed</t>
  </si>
  <si>
    <t>Engros- og detailhandel</t>
  </si>
  <si>
    <t>Transport og lagring</t>
  </si>
  <si>
    <t>Overnatningsfaciliteter og restaurationsvirksomhed</t>
  </si>
  <si>
    <t>Information og kommunikation</t>
  </si>
  <si>
    <t>Pengeinstitut- og finansvirksomhed, forsikring</t>
  </si>
  <si>
    <t>Forvaltning af og handel med ejendomme</t>
  </si>
  <si>
    <t>Liberale, videnskabelige og tekniske tjenesteydelser</t>
  </si>
  <si>
    <t>Administrative tjenesteydelser og hjælpetjenester</t>
  </si>
  <si>
    <t>Offentlig forvaltning, forsvar og socialsikring</t>
  </si>
  <si>
    <t>Undervisning</t>
  </si>
  <si>
    <t>Sundhedsvæsen og sociale foranstaltninger</t>
  </si>
  <si>
    <t>Kultur, forlystelser og fritid</t>
  </si>
  <si>
    <t>Andre tjenesteydelser</t>
  </si>
  <si>
    <t>Da omfanget af den regnskabsmæssige konsolidering og den tilsynsmæssige konsolidering er det samme, kombineres kolonne a) og b) i dette skema</t>
  </si>
  <si>
    <t>Kreditrisiko-
ramme</t>
  </si>
  <si>
    <t xml:space="preserve">Securitiserings-
ramme </t>
  </si>
  <si>
    <t xml:space="preserve">Modpartskredit-risikoramme </t>
  </si>
  <si>
    <t>Markedsrisiko-ramme</t>
  </si>
  <si>
    <t>-</t>
  </si>
  <si>
    <t>EU-CCyB1 — Geografisk fordeling af krediteksponeringer, der er relevante for beregningen af den kontracykliske kapitalbuffer</t>
  </si>
  <si>
    <t>EU-CCyB2 — Størrelsen af den institutspecifikke kontracykliske kapitalbuffer</t>
  </si>
  <si>
    <t>Skema EU INS1 – Forsikringsinteresser</t>
  </si>
  <si>
    <t>Skema EU INS2 – Finansielle konglomerater — Oplysninger om kapitalgrundlag og kapitalprocent</t>
  </si>
  <si>
    <t>Skema EU CR3 - Overblik over kreditrisikoreduktionsteknikker  Offentliggørelse af anvendelsen af kreditrisikoreduktionsteknikker</t>
  </si>
  <si>
    <t xml:space="preserve">Usikret regnskabsmæssig værdi </t>
  </si>
  <si>
    <t>Sikret regnskabsmæssig værdi</t>
  </si>
  <si>
    <r>
      <rPr>
        <sz val="11"/>
        <color rgb="FF000000"/>
        <rFont val="Segoe UI"/>
        <family val="2"/>
      </rPr>
      <t xml:space="preserve">Heraf </t>
    </r>
    <r>
      <rPr>
        <b/>
        <sz val="11"/>
        <color rgb="FF000000"/>
        <rFont val="Segoe UI"/>
        <family val="2"/>
      </rPr>
      <t>sikret ved sikkerhedsstillelse</t>
    </r>
    <r>
      <rPr>
        <sz val="11"/>
        <color rgb="FF000000"/>
        <rFont val="Segoe UI"/>
        <family val="2"/>
      </rPr>
      <t>:</t>
    </r>
    <r>
      <rPr>
        <b/>
        <sz val="11"/>
        <color rgb="FF000000"/>
        <rFont val="Segoe UI"/>
        <family val="2"/>
      </rPr>
      <t xml:space="preserve"> </t>
    </r>
  </si>
  <si>
    <r>
      <rPr>
        <sz val="11"/>
        <color rgb="FF000000"/>
        <rFont val="Segoe UI"/>
        <family val="2"/>
      </rPr>
      <t xml:space="preserve">Heraf </t>
    </r>
    <r>
      <rPr>
        <b/>
        <sz val="11"/>
        <color rgb="FF000000"/>
        <rFont val="Segoe UI"/>
        <family val="2"/>
      </rPr>
      <t>sikret ved finansielle garantier</t>
    </r>
  </si>
  <si>
    <r>
      <rPr>
        <sz val="11"/>
        <color rgb="FF000000"/>
        <rFont val="Segoe UI"/>
        <family val="2"/>
      </rPr>
      <t xml:space="preserve">Heraf </t>
    </r>
    <r>
      <rPr>
        <b/>
        <sz val="11"/>
        <color rgb="FF000000"/>
        <rFont val="Segoe UI"/>
        <family val="2"/>
      </rPr>
      <t>sikret ved kreditderivater</t>
    </r>
  </si>
  <si>
    <t xml:space="preserve">Gældsværdipapirer </t>
  </si>
  <si>
    <t>  </t>
  </si>
  <si>
    <t xml:space="preserve">     Heraf misligholdte eksponeringer</t>
  </si>
  <si>
    <t xml:space="preserve">            Heraf misligholdte </t>
  </si>
  <si>
    <t>Skema EU CR4 — Standardmetode — Kreditrisikoeksponering og virkninger af kreditrisikoreduktionsteknikker</t>
  </si>
  <si>
    <t>Skema CR5 — Standardmetode</t>
  </si>
  <si>
    <t xml:space="preserve"> Eksponeringsklasser</t>
  </si>
  <si>
    <t>Eksponeringer inden kreditkonvertingsfaktorer og inden kreditrisikoreduktionsteknikker</t>
  </si>
  <si>
    <t>Eksponeringer efter konverteringsfaktorer og efter kreditrisikoreduktionsteknikker</t>
  </si>
  <si>
    <t>Risikovægtede aktiver og tæthed af risikovægtede aktiver</t>
  </si>
  <si>
    <t>Risikovægtede aktiver</t>
  </si>
  <si>
    <t xml:space="preserve">Tæthed af risikovægtede aktiver (%) </t>
  </si>
  <si>
    <t>Centralregeringer eller centralbanker</t>
  </si>
  <si>
    <t>Regionale eller lokale myndigheder</t>
  </si>
  <si>
    <t>Offentlige enheder</t>
  </si>
  <si>
    <t>Multilaterale udviklingsbanker</t>
  </si>
  <si>
    <t>Internationale organisationer</t>
  </si>
  <si>
    <t>Detail</t>
  </si>
  <si>
    <t>Eksponeringer forbundet med særlig høj risiko</t>
  </si>
  <si>
    <t>Institutter og selskaber med kortsigtet kreditvurdering</t>
  </si>
  <si>
    <t>CIU'er</t>
  </si>
  <si>
    <t>Aktier</t>
  </si>
  <si>
    <t>Andre poster</t>
  </si>
  <si>
    <t>I ALT</t>
  </si>
  <si>
    <t>Risikovægt</t>
  </si>
  <si>
    <t>Heraf ikkeratede</t>
  </si>
  <si>
    <t>Andre</t>
  </si>
  <si>
    <t>p</t>
  </si>
  <si>
    <t>q</t>
  </si>
  <si>
    <t>Eksponeringer sikret ved pant i fast ejendom</t>
  </si>
  <si>
    <t>Eksponeringer mod institutter og selskaber med kortsigtet kreditvurdering</t>
  </si>
  <si>
    <t>Andele eller aktier i CIU'er</t>
  </si>
  <si>
    <t>Aktieeksponeringer</t>
  </si>
  <si>
    <t>Skema EU CCR1 - Analyse af modpartskreditrisikoeksponeringer efter metode</t>
  </si>
  <si>
    <t>Skema EU CCR2 – Transaktioner underlagt kapitalgrundlagskrav for kreditværdijusteringsrisiko</t>
  </si>
  <si>
    <t>Skema EU CCR3 — standardmetoden — modpartskreditrisikoeksponeringer efter eksponeringsklasse og risikovægte</t>
  </si>
  <si>
    <t>Skema EU CCR4 — IRB-metoden — modpartskreditrisikoeksponeringer efter eksponeringsklasse og PD-skala</t>
  </si>
  <si>
    <t>Skema EU CCR6 – Eksponering for kreditderivater</t>
  </si>
  <si>
    <t>Skema EU CCR7 - RWEA-flowtabeller for markedsrisikoeksponeringer i henhold til IMM</t>
  </si>
  <si>
    <t>Aktieinstrumenter</t>
  </si>
  <si>
    <t>Skema EU MR1 - Markedsrisiko i henhold til standardmetoden</t>
  </si>
  <si>
    <t>Skema EU MR2-A - Markedsrisiko i henhold til metoden med interne modeller (IMA)</t>
  </si>
  <si>
    <t>Skema EU MR3 - IMA-værdier for handelsporteføljer</t>
  </si>
  <si>
    <t>Skema EU MR4 - Sammenligning af VaR-estimater med gevinster/tab</t>
  </si>
  <si>
    <t>Risikovægtede eksponeringer (RWEA)</t>
  </si>
  <si>
    <t>Direkte produkter</t>
  </si>
  <si>
    <t>Renterisiko (generel og specifik)</t>
  </si>
  <si>
    <t>Aktierisiko (generel og specifik)</t>
  </si>
  <si>
    <t>Valutarisiko</t>
  </si>
  <si>
    <t xml:space="preserve">Råvarerisiko </t>
  </si>
  <si>
    <t xml:space="preserve">Optioner </t>
  </si>
  <si>
    <t>Forenklet metode</t>
  </si>
  <si>
    <t>Delta plus-metode</t>
  </si>
  <si>
    <t>Scenario-metode</t>
  </si>
  <si>
    <r>
      <rPr>
        <sz val="10"/>
        <color theme="1"/>
        <rFont val="Arial"/>
        <family val="2"/>
      </rPr>
      <t>Securitisering (specifik risiko)</t>
    </r>
  </si>
  <si>
    <t>Skema EU MR2-B - RWEA-flowtabeller for markedsrisikoeksponeringer i henhold til IMA</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</si>
  <si>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</si>
  <si>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</si>
  <si>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</si>
  <si>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</si>
  <si>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 xml:space="preserve"> Skema EU OR1 - Kapitalgrundlagskrav for operationel risiko og risikovægtede eksponeringer</t>
  </si>
  <si>
    <t>Bankaktiviteter</t>
  </si>
  <si>
    <t>Relevant indikator</t>
  </si>
  <si>
    <t>Own funds</t>
  </si>
  <si>
    <t>Total operational risk-weighted exposure amount</t>
  </si>
  <si>
    <r>
      <rPr>
        <sz val="11"/>
        <color theme="1"/>
        <rFont val="Calibri"/>
        <family val="2"/>
        <scheme val="minor"/>
      </rPr>
      <t>Risikoeksponering</t>
    </r>
  </si>
  <si>
    <t>År-3</t>
  </si>
  <si>
    <t>År-2</t>
  </si>
  <si>
    <t>Foregående år</t>
  </si>
  <si>
    <t>requirement</t>
  </si>
  <si>
    <t>Bankaktiviteter omfattet af basisindikatormetoden (BIA)</t>
  </si>
  <si>
    <t>Bankaktiviteter omfattet af standardmetoden (TSA)/ den alternative standardmetode (ASA)</t>
  </si>
  <si>
    <t>OMFATTET AF TSA:</t>
  </si>
  <si>
    <t>OMFATTET AF ASA:</t>
  </si>
  <si>
    <t>Bankaktiviteter omfattet af avancerede målemetoder (AMA)</t>
  </si>
  <si>
    <t xml:space="preserve">Skema EU REM1 – Aflønning tildelt i løbet af regnskabsåret </t>
  </si>
  <si>
    <t>Skema EU REM2 – Særlige betalinger til medarbejdere, hvis arbejde har væsentlig indflydelse på instituttets risikoprofil (identificerede medarbejdere)</t>
  </si>
  <si>
    <t xml:space="preserve">Skema EU REM3 – Udskudt aflønning </t>
  </si>
  <si>
    <t>Skema EU REM4 – Aflønning på 1 mio. EUR eller derover pr. regnskabsår</t>
  </si>
  <si>
    <t>Skema REM5 – Oplysninger om aflønning af medarbejdere, hvis arbejde har væsentlig indflydelse på instituttets risikoprofil (identificerede medarbejdere)</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</si>
  <si>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</si>
  <si>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</si>
  <si>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</si>
  <si>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</si>
  <si>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</si>
  <si>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</si>
  <si>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</si>
  <si>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</si>
  <si>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</si>
  <si>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</si>
  <si>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</si>
  <si>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</si>
  <si>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</si>
  <si>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</si>
  <si>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</si>
  <si>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</si>
  <si>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</si>
  <si>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Heraf: udskudt</t>
  </si>
  <si>
    <t>EU-13a</t>
  </si>
  <si>
    <t>EU-14a</t>
  </si>
  <si>
    <t>EU-13b</t>
  </si>
  <si>
    <t>EU-14b</t>
  </si>
  <si>
    <t>EU-14x</t>
  </si>
  <si>
    <t>EU-14y</t>
  </si>
  <si>
    <t>Aflønning i alt (2 + 10)</t>
  </si>
  <si>
    <t>Ledelsesorganet i dets ledelsesfunktion</t>
  </si>
  <si>
    <t xml:space="preserve">a </t>
  </si>
  <si>
    <t>Aflønning af ledelsesorgan</t>
  </si>
  <si>
    <t>Forretningsområder</t>
  </si>
  <si>
    <t>Ledelsesorgan, i alt</t>
  </si>
  <si>
    <t>Investeringsbankvirksomhed</t>
  </si>
  <si>
    <t>Detailbankydelser</t>
  </si>
  <si>
    <t>Forvaltning af aktiver</t>
  </si>
  <si>
    <t>Forretningsfunktioner</t>
  </si>
  <si>
    <t>Uafhængige interne kontrolfunktioner</t>
  </si>
  <si>
    <t>Alle andre</t>
  </si>
  <si>
    <t xml:space="preserve">I alt </t>
  </si>
  <si>
    <t>Samlet antal identificerede medarbejdere</t>
  </si>
  <si>
    <t>Heraf: medlemmer af ledelsesorganet</t>
  </si>
  <si>
    <t>Heraf: andre medarbejdere i den øverste ledelse</t>
  </si>
  <si>
    <t>Heraf: andre identificerede medarbejdere</t>
  </si>
  <si>
    <t>Samlet aflønning af identificerede medarbejdere</t>
  </si>
  <si>
    <t xml:space="preserve">Heraf: variabel aflønning </t>
  </si>
  <si>
    <t xml:space="preserve">Heraf: fast aflønning </t>
  </si>
  <si>
    <t>Skema EU AE1 - Behæftede og ubehæftede aktiver</t>
  </si>
  <si>
    <t>Skema EU AE2 - Modtaget sikkerhedsstillelse og egne udstedte gældsværdipapirer</t>
  </si>
  <si>
    <t>Skema EU AE3 – Behæftelseskilder</t>
  </si>
  <si>
    <t>Regnskabsmæssig værdi af behæftede aktiver</t>
  </si>
  <si>
    <t>Dagsværdi af behæftede aktiver</t>
  </si>
  <si>
    <t>Regnskabsmæssig værdi af ubehæftede aktiver</t>
  </si>
  <si>
    <t>Dagsværdi af ubehæftede aktiver</t>
  </si>
  <si>
    <t>heraf aktiver, der i ubehæftet stand ville kunne klassificeres som EHQLA'er og HQLA'er</t>
  </si>
  <si>
    <t>heraf EHQLA'er og HQLA'er</t>
  </si>
  <si>
    <t>Det oplysende instituts aktiver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</si>
  <si>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</si>
  <si>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</si>
  <si>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</si>
  <si>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</si>
  <si>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</si>
  <si>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Skema EU CR6 — IRB-metoden — kreditrisikoeksponeringer efter eksponeringsklasse og PD-interval</t>
  </si>
  <si>
    <t>Skema EU CR6-A – IRB-metoden – anvendelsesområdet for IRB-metoden og SA-metoden</t>
  </si>
  <si>
    <t>Skema EU CR7 – IRB-metoden – Virkning af kreditderivater anvendt som CRM-teknikker på de risikovægtede eksponeringer</t>
  </si>
  <si>
    <t>Skema EU CR7-A – IRB-metoden – Offentliggørelse af omfanget af anvendelsen af kreditrisikoreduktionsteknikker</t>
  </si>
  <si>
    <t xml:space="preserve">Skema EU CR8 - RWEA-flowtabeller for kreditrisikoeksponeringer i henhold til IRB-metoden. </t>
  </si>
  <si>
    <t>Skema CR9 –IRB-metoden – Back-testing af PD efter eksponeringsklasse. (fastsat PD-skala)</t>
  </si>
  <si>
    <t>Skema CR9.1 – IRB metoden – Back-testing af PD efter eksponeringsklasse (kun for PD-estimater i henhold til artikel 180, stk. 1, litra f), i CRR)</t>
  </si>
  <si>
    <t>Skema EU CR10 – Specialiseret långivning og aktieeksponeringer i henhold til den forenklede risikovægtningsmetode</t>
  </si>
  <si>
    <t>Skema EU-SEC2 - Securitiseringseksponeringer i handelsbeholdningen</t>
  </si>
  <si>
    <t>Skema EU-SEC3 - Securitiseringseksponeringer uden for handelsbeholdningen og tilknyttede lovbestemte kapitalkrav - instituttet optræder som eksponeringsleverende eller organiserende institut</t>
  </si>
  <si>
    <t>Skema EU-SEC4 - Securitiseringseksponeringer uden for handelsbeholdningen og tilknyttede lovpligtige kapitalkrav - instituttet optræder som investorinstitut</t>
  </si>
  <si>
    <t>Skema EU-SEC5 - Eksponeringer securitiseret af instituttet - Misligholdte eksponeringer og specifikke kreditrisikojusteringer</t>
  </si>
  <si>
    <r>
      <rPr>
        <sz val="11"/>
        <color theme="1"/>
        <rFont val="Calibri"/>
        <family val="2"/>
        <scheme val="minor"/>
      </rPr>
      <t>Skema EU-SEC1 - Securitiseringseksponeringer uden for handelsbeholdningen</t>
    </r>
  </si>
  <si>
    <r>
      <rPr>
        <sz val="11"/>
        <color theme="1"/>
        <rFont val="Calibri"/>
        <family val="2"/>
        <scheme val="minor"/>
      </rPr>
      <t>Skema EU CQ4: Kvaliteten af misligholdte eksponeringer efter geografisk placering</t>
    </r>
    <r>
      <rPr>
        <sz val="11"/>
        <color rgb="FF000000"/>
        <rFont val="Calibri"/>
        <family val="2"/>
        <scheme val="minor"/>
      </rPr>
      <t> </t>
    </r>
  </si>
  <si>
    <t>Skema EU PV1 – Justeringer som følge af forsigtig værdiansættelse (PVA)</t>
  </si>
  <si>
    <r>
      <rPr>
        <sz val="11"/>
        <color theme="1"/>
        <rFont val="Calibri"/>
        <family val="2"/>
        <scheme val="minor"/>
      </rPr>
      <t>Skema EU CCR5 — Sammensætning af sikkerhedsstillelse for modpartskreditrisikoeksponeringer</t>
    </r>
  </si>
  <si>
    <t>Følgende skemaer anses som urelevante eller uvæsentlige for Aktieselskabet Nordfyns Bank</t>
  </si>
  <si>
    <t>Skema EU CCR8  - Modpartskreditrisikoeksponeringer</t>
  </si>
  <si>
    <t>Bestyrelse</t>
  </si>
  <si>
    <t>Direktion</t>
  </si>
  <si>
    <t>Væsentlige risikotagere</t>
  </si>
  <si>
    <t>Skema EU CCA - Hovedtræk ved lovpligtige kapitalgrundlagsinstrumenter og nedskrivningsrelevante passivinstrumenter</t>
  </si>
  <si>
    <t>Samlede kapitalgrundlags-
krav</t>
  </si>
  <si>
    <t>Nordfyns Banks udenlandske krediteksponeringer udgør mind end 2 % af de samlede risikovægtede eksponeringer, hvorfor disse er henført til Danmark.</t>
  </si>
  <si>
    <t>Eksponeringer fra andre lande:</t>
  </si>
  <si>
    <t>AT</t>
  </si>
  <si>
    <t>AU</t>
  </si>
  <si>
    <t>DE</t>
  </si>
  <si>
    <t>ES</t>
  </si>
  <si>
    <t>GB</t>
  </si>
  <si>
    <t>GL</t>
  </si>
  <si>
    <t>IT</t>
  </si>
  <si>
    <t>LT</t>
  </si>
  <si>
    <t>LU</t>
  </si>
  <si>
    <t>NO</t>
  </si>
  <si>
    <t>SE</t>
  </si>
  <si>
    <t>US</t>
  </si>
  <si>
    <t>Øvrige</t>
  </si>
  <si>
    <t>Eksponeringsværdi 
i alt</t>
  </si>
  <si>
    <t>Nordfyns Bank kan p.t. ikke identificere beløb til ovenstående skemaer på et validt datagrundlag.</t>
  </si>
  <si>
    <t>EU OV1 – Oversigt over samlede risikoeksponeringer</t>
  </si>
  <si>
    <t>EU KM1 – Skema om væsentlige målekriterier</t>
  </si>
  <si>
    <t xml:space="preserve">EU LI1 – Forskelle mellem de regnskabsmæssige rammer og rammerne for tilsynsmæssig konsolidering og sammenstilling af regnskabskategorierne og lovmæssigt fastsatte risikokategorier </t>
  </si>
  <si>
    <t xml:space="preserve">EU LI2 – Primære kilder til forskelle mellem de tilsynsmæssige eksponeringsbeløb og regnskabsmæssige værdier </t>
  </si>
  <si>
    <t>EU CC1 — Sammensætning af lovpligtigt kapitalgrundlag</t>
  </si>
  <si>
    <t xml:space="preserve">EU LI3 – Skitsering af forskellene i konsolideringens omfang (enhed for enhed) </t>
  </si>
  <si>
    <t>EU LR1 - LRSum: Afstemning mellem regnskabsmæssige aktiver og gearingsgradrelevante eksponeringer — oversigt</t>
  </si>
  <si>
    <t>EU LR2 - LRCom Oplysninger om gearingsgrad — fælles regler</t>
  </si>
  <si>
    <t>EU LR3 - LRSpl: Opdeling af balanceførte eksponeringer (ekskl. derivater, SFT'er og ikke medregnede eksponeringer)</t>
  </si>
  <si>
    <t>EU LIQ1 - Kvantitative oplysninger om likviditetsdækningsgrad</t>
  </si>
  <si>
    <t>EU CR3 - Overblik over kreditrisikoreduktionsteknikker  Offentliggørelse af anvendelsen af kreditrisikoreduktionsteknikker</t>
  </si>
  <si>
    <t>EU CR4 — Standardmetode — Kreditrisikoeksponering og virkninger af kreditrisikoreduktionsteknikker</t>
  </si>
  <si>
    <t>EU CR5 — Standardmetode</t>
  </si>
  <si>
    <t>EU MR1 - Markedsrisiko i henhold til standardmetoden</t>
  </si>
  <si>
    <t>EU OV1</t>
  </si>
  <si>
    <t>EU OR1 - Kapitalgrundlagskrav for operationel risiko og risikovægtede eksponeringer</t>
  </si>
  <si>
    <t xml:space="preserve">EU REM1 – Aflønning tildelt i løbet af regnskabsåret </t>
  </si>
  <si>
    <t>EU REM5 – Oplysninger om aflønning af medarbejdere, hvis arbejde har væsentlig indflydelse på instituttets risikoprofil (identificerede medarbejdere)</t>
  </si>
  <si>
    <t>EU AE1 - Behæftede og ubehæftede aktiver</t>
  </si>
  <si>
    <t>Skema</t>
  </si>
  <si>
    <t>EU KM1</t>
  </si>
  <si>
    <t>EU LI1</t>
  </si>
  <si>
    <t>EU LI2</t>
  </si>
  <si>
    <t>EU LI3</t>
  </si>
  <si>
    <t>EU CC1</t>
  </si>
  <si>
    <t>EU-CCyB1</t>
  </si>
  <si>
    <t>EU-CCyB2</t>
  </si>
  <si>
    <t>EU LR1</t>
  </si>
  <si>
    <t>EU LR2</t>
  </si>
  <si>
    <t>EU LR3</t>
  </si>
  <si>
    <t>EU LIQ1</t>
  </si>
  <si>
    <t>EU LIQ2</t>
  </si>
  <si>
    <t>EU CR1</t>
  </si>
  <si>
    <t>EU CR1-A</t>
  </si>
  <si>
    <t>EU CQ3</t>
  </si>
  <si>
    <t>EU CQ5</t>
  </si>
  <si>
    <t>EU CR3</t>
  </si>
  <si>
    <t>EU CR4</t>
  </si>
  <si>
    <t>EU CR5</t>
  </si>
  <si>
    <t>EU MR1</t>
  </si>
  <si>
    <t>EU OR1</t>
  </si>
  <si>
    <t>EU REM1</t>
  </si>
  <si>
    <t>EU REM5</t>
  </si>
  <si>
    <t>EU AE1</t>
  </si>
  <si>
    <t xml:space="preserve">EU LIQ2 - Net stable funding ratio </t>
  </si>
  <si>
    <t>EU CR1 - Ikkemisligholdte og misligholdte eksponeringer og dertil knyttede bestemmelser</t>
  </si>
  <si>
    <t>EU CR1-A  -Løbetid på eksponeringer</t>
  </si>
  <si>
    <t>EU CQ3 - Kreditkvalitet af ikkemisligholdte og misligholdte eksponeringer efter forfaldsdage (ingen tilgængelige valide data)</t>
  </si>
  <si>
    <t>EU CQ5-  Kreditkvalitet af lån og forskud til ikkefinansielle selskaber efter branche</t>
  </si>
  <si>
    <t>Referencedato:</t>
  </si>
  <si>
    <t>DKK</t>
  </si>
  <si>
    <t>Selskabsnavn:</t>
  </si>
  <si>
    <t>Indberetningsvaluta:</t>
  </si>
  <si>
    <t>Aktieselskabet Nordfyns Bank</t>
  </si>
  <si>
    <t>LEI kode</t>
  </si>
  <si>
    <t>Konsolideringens omfang:</t>
  </si>
  <si>
    <t>Moderselskabet Aktieselskabet Nordfyns Bank og datterselskabet Nordfyns Finans</t>
  </si>
  <si>
    <t>549300BWB2IW0OL3GQ06</t>
  </si>
  <si>
    <t>Erklæring:</t>
  </si>
  <si>
    <t>bankens politik for oplysning af søjle III-information, som er baseret på Europa-Parlamentets og Rådets</t>
  </si>
  <si>
    <t>forordning 2019/876 af 20. maj 2019 og EU-kommissionens implementerende regulering 2021/637 af 15. marts 2021.</t>
  </si>
  <si>
    <t>Holger Bruun</t>
  </si>
  <si>
    <t>Adm. direktør</t>
  </si>
  <si>
    <t>Yderligere risikooplysninger (søjle lll) for Aktieselskabet Nordfyns Bank</t>
  </si>
  <si>
    <r>
      <t>Konsolidering: (individuel</t>
    </r>
    <r>
      <rPr>
        <b/>
        <sz val="11"/>
        <color rgb="FF000000"/>
        <rFont val="Calibri"/>
        <family val="2"/>
        <scheme val="minor"/>
      </rPr>
      <t>/konsolideret)</t>
    </r>
  </si>
  <si>
    <t>31. december 2022</t>
  </si>
  <si>
    <t>28. februar 2023</t>
  </si>
  <si>
    <t xml:space="preserve">Nordfyns Banks søjle III-oplysningsforpligtelser pr. den 31. december 2022 er udarbejdet i overensstemmelse med </t>
  </si>
  <si>
    <t>AE</t>
  </si>
  <si>
    <t>BE</t>
  </si>
  <si>
    <t>IN</t>
  </si>
  <si>
    <t>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</si>
</sst>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 #,##0_-;_-* &quot;-&quot;??_-;_-@_-"/>
    <numFmt numFmtId="166" formatCode="_-* #,##0.00\ _k_r_._-;\-* #,##0.00\ _k_r_._-;_-* &quot;-&quot;??\ _k_r_._-;_-@_-"/>
    <numFmt numFmtId="167" formatCode="0.0%"/>
    <numFmt numFmtId="168" formatCode="_-* #,##0\ _k_r_._-;\-* #,##0\ _k_r_._-;_-* &quot;-&quot;??\ _k_r_._-;_-@_-"/>
    <numFmt numFmtId="169" formatCode="_-* #,##0.0_-;\-* #,##0.0_-;_-* &quot;-&quot;??_-;_-@_-"/>
    <numFmt numFmtId="170" formatCode="0.0"/>
  </numFmts>
  <fonts count="83" x14ac:knownFonts="1">
    <font>
      <sz val="11"/>
      <color theme="1"/>
      <name val="Calibri"/>
      <family val="2"/>
      <scheme val="minor"/>
    </font>
    <font>
      <sz val="10"/>
      <color theme="1"/>
      <name val="Arial"/>
      <family val="2"/>
    </font>
    <font>
      <sz val="10"/>
      <color theme="1"/>
      <name val="Arial"/>
      <family val="2"/>
    </font>
    <font>
      <sz val="9"/>
      <name val="Calibri"/>
      <family val="2"/>
      <scheme val="minor"/>
    </font>
    <font>
      <sz val="11"/>
      <name val="Calibri"/>
      <family val="2"/>
      <scheme val="minor"/>
    </font>
    <font>
      <b/>
      <sz val="11"/>
      <name val="Calibri"/>
      <family val="2"/>
      <scheme val="minor"/>
    </font>
    <font>
      <sz val="9"/>
      <name val="Calibri Light"/>
      <family val="2"/>
      <scheme val="major"/>
    </font>
    <font>
      <sz val="9"/>
      <color theme="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b/>
      <sz val="11"/>
      <color theme="1"/>
      <name val="Calibri"/>
      <family val="2"/>
      <scheme val="minor"/>
    </font>
    <font>
      <i/>
      <sz val="11"/>
      <color rgb="FFAA322F"/>
      <name val="Calibri"/>
      <family val="2"/>
      <scheme val="minor"/>
    </font>
    <font>
      <b/>
      <sz val="11"/>
      <color rgb="FFAA322F"/>
      <name val="Calibri"/>
      <family val="2"/>
      <scheme val="minor"/>
    </font>
    <font>
      <sz val="11"/>
      <color theme="1"/>
      <name val="Calibri"/>
      <family val="2"/>
      <scheme val="minor"/>
    </font>
    <font>
      <i/>
      <sz val="11"/>
      <color theme="1"/>
      <name val="Calibri"/>
      <family val="2"/>
      <scheme val="minor"/>
    </font>
    <font>
      <b/>
      <sz val="11"/>
      <color theme="1"/>
      <name val="CircularXX"/>
      <family val="3"/>
    </font>
    <font>
      <b/>
      <sz val="20"/>
      <color theme="1"/>
      <name val="CircularXX"/>
      <family val="3"/>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b/>
      <sz val="11"/>
      <color rgb="FFFF0000"/>
      <name val="Calibri"/>
      <family val="2"/>
      <scheme val="minor"/>
    </font>
    <font>
      <b/>
      <sz val="14"/>
      <color theme="1"/>
      <name val="Calibri"/>
      <family val="2"/>
      <scheme val="minor"/>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b/>
      <sz val="14"/>
      <color rgb="FF000000"/>
      <name val="Calibri"/>
      <family val="2"/>
      <scheme val="minor"/>
    </font>
    <font>
      <i/>
      <sz val="11"/>
      <color rgb="FF000000"/>
      <name val="Calibri"/>
      <family val="2"/>
      <scheme val="minor"/>
    </font>
    <font>
      <sz val="10"/>
      <name val="Arial"/>
      <family val="2"/>
    </font>
    <font>
      <strike/>
      <sz val="9"/>
      <name val="Calibri"/>
      <family val="2"/>
      <scheme val="minor"/>
    </font>
    <font>
      <sz val="11"/>
      <color theme="1"/>
      <name val="Calibri"/>
      <family val="2"/>
      <charset val="238"/>
      <scheme val="minor"/>
    </font>
    <font>
      <sz val="12"/>
      <color theme="1"/>
      <name val="Calibri"/>
      <family val="2"/>
      <scheme val="minor"/>
    </font>
    <font>
      <b/>
      <sz val="12"/>
      <color rgb="FF000000"/>
      <name val="Calibri"/>
      <family val="2"/>
      <scheme val="minor"/>
    </font>
    <font>
      <u/>
      <sz val="11"/>
      <color rgb="FF008080"/>
      <name val="Calibri"/>
      <family val="2"/>
      <scheme val="minor"/>
    </font>
    <font>
      <b/>
      <sz val="11"/>
      <color theme="1"/>
      <name val="Segoe UI"/>
      <family val="2"/>
    </font>
    <font>
      <i/>
      <sz val="11"/>
      <name val="Calibri"/>
      <family val="2"/>
      <scheme val="minor"/>
    </font>
    <font>
      <b/>
      <sz val="10"/>
      <name val="Calibri"/>
      <family val="2"/>
      <scheme val="minor"/>
    </font>
    <font>
      <sz val="8.5"/>
      <color theme="1"/>
      <name val="Segoe UI"/>
      <family val="2"/>
    </font>
    <font>
      <i/>
      <sz val="8"/>
      <color theme="1"/>
      <name val="Segoe UI"/>
      <family val="2"/>
    </font>
    <font>
      <b/>
      <i/>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sz val="8"/>
      <color theme="1"/>
      <name val="Segoe UI"/>
      <family val="2"/>
    </font>
    <font>
      <b/>
      <i/>
      <sz val="8"/>
      <color theme="1"/>
      <name val="Segoe UI"/>
      <family val="2"/>
    </font>
    <font>
      <b/>
      <sz val="9"/>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b/>
      <sz val="11"/>
      <color rgb="FF000000"/>
      <name val="Segoe UI"/>
      <family val="2"/>
    </font>
    <font>
      <i/>
      <sz val="11"/>
      <name val="Segoe UI"/>
      <family val="2"/>
    </font>
    <font>
      <sz val="11"/>
      <name val="Segoe UI"/>
      <family val="2"/>
    </font>
    <font>
      <sz val="8.5"/>
      <color theme="1"/>
      <name val="Calibri"/>
      <family val="2"/>
      <scheme val="minor"/>
    </font>
    <font>
      <b/>
      <sz val="8.5"/>
      <color theme="1"/>
      <name val="Calibri"/>
      <family val="2"/>
      <scheme val="minor"/>
    </font>
    <font>
      <sz val="11"/>
      <name val="Arial"/>
      <family val="2"/>
    </font>
    <font>
      <b/>
      <sz val="10"/>
      <color rgb="FF000000"/>
      <name val="Arial"/>
      <family val="2"/>
    </font>
    <font>
      <sz val="10"/>
      <color rgb="FF000000"/>
      <name val="Arial"/>
      <family val="2"/>
    </font>
    <font>
      <b/>
      <sz val="12"/>
      <color theme="1"/>
      <name val="Arial"/>
      <family val="2"/>
    </font>
    <font>
      <b/>
      <sz val="10"/>
      <name val="Arial"/>
      <family val="2"/>
    </font>
    <font>
      <b/>
      <sz val="12"/>
      <name val="Arial"/>
      <family val="2"/>
    </font>
    <font>
      <sz val="11"/>
      <color rgb="FF0070C0"/>
      <name val="Calibri"/>
      <family val="2"/>
      <scheme val="minor"/>
    </font>
    <font>
      <i/>
      <u/>
      <sz val="11"/>
      <name val="Calibri"/>
      <family val="2"/>
      <scheme val="minor"/>
    </font>
    <font>
      <sz val="11"/>
      <color indexed="10"/>
      <name val="Calibri"/>
      <family val="2"/>
      <scheme val="minor"/>
    </font>
    <font>
      <sz val="8"/>
      <color rgb="FFFF0000"/>
      <name val="Calibri"/>
      <family val="2"/>
      <scheme val="minor"/>
    </font>
    <font>
      <strike/>
      <sz val="11"/>
      <name val="Calibri"/>
      <family val="2"/>
      <scheme val="minor"/>
    </font>
    <font>
      <b/>
      <sz val="9"/>
      <name val="Verdana"/>
      <family val="2"/>
    </font>
    <font>
      <b/>
      <strike/>
      <sz val="9"/>
      <name val="Verdana"/>
      <family val="2"/>
    </font>
    <font>
      <sz val="10"/>
      <name val="Verdana"/>
      <family val="2"/>
    </font>
    <font>
      <b/>
      <sz val="10"/>
      <name val="Verdana"/>
      <family val="2"/>
    </font>
    <font>
      <b/>
      <sz val="20"/>
      <name val="Arial"/>
      <family val="2"/>
    </font>
    <font>
      <sz val="11"/>
      <name val="Calibri"/>
      <family val="2"/>
      <charset val="238"/>
      <scheme val="minor"/>
    </font>
    <font>
      <u/>
      <sz val="11"/>
      <color theme="10"/>
      <name val="Calibri"/>
      <family val="2"/>
      <scheme val="minor"/>
    </font>
    <font>
      <i/>
      <sz val="11"/>
      <color rgb="FFFF0000"/>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499984740745262"/>
        <bgColor indexed="64"/>
      </patternFill>
    </fill>
    <fill>
      <patternFill patternType="solid">
        <fgColor indexed="42"/>
        <bgColor indexed="64"/>
      </patternFill>
    </fill>
    <fill>
      <patternFill patternType="solid">
        <fgColor indexed="9"/>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theme="0" tint="-0.249977111117893"/>
        <bgColor indexed="64"/>
      </patternFill>
    </fill>
  </fills>
  <borders count="6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double">
        <color indexed="64"/>
      </bottom>
      <diagonal/>
    </border>
  </borders>
  <cellStyleXfs count="14">
    <xf numFmtId="0" fontId="0" fillId="0" borderId="0"/>
    <xf numFmtId="164" fontId="14" fillId="0" borderId="0" applyFont="0" applyFill="0" applyBorder="0" applyAlignment="0" applyProtection="0"/>
    <xf numFmtId="9" fontId="14" fillId="0" borderId="0" applyFont="0" applyFill="0" applyBorder="0" applyAlignment="0" applyProtection="0"/>
    <xf numFmtId="0" fontId="36" fillId="0" borderId="0">
      <alignment vertical="center"/>
    </xf>
    <xf numFmtId="3" fontId="36" fillId="11" borderId="2" applyFont="0">
      <alignment horizontal="right" vertical="center"/>
      <protection locked="0"/>
    </xf>
    <xf numFmtId="0" fontId="38" fillId="0" borderId="0"/>
    <xf numFmtId="0" fontId="36" fillId="0" borderId="0">
      <alignment vertical="center"/>
    </xf>
    <xf numFmtId="0" fontId="36" fillId="0" borderId="0"/>
    <xf numFmtId="0" fontId="36" fillId="0" borderId="0"/>
    <xf numFmtId="0" fontId="36" fillId="0" borderId="0"/>
    <xf numFmtId="0" fontId="69" fillId="0" borderId="0" applyNumberFormat="0" applyFill="0" applyBorder="0" applyAlignment="0" applyProtection="0"/>
    <xf numFmtId="0" fontId="79" fillId="12" borderId="11" applyNumberFormat="0" applyFill="0" applyBorder="0" applyAlignment="0" applyProtection="0">
      <alignment horizontal="left"/>
    </xf>
    <xf numFmtId="0" fontId="68" fillId="12" borderId="7" applyFont="0" applyBorder="0">
      <alignment horizontal="center" wrapText="1"/>
    </xf>
    <xf numFmtId="0" fontId="81" fillId="0" borderId="0" applyNumberFormat="0" applyFill="0" applyBorder="0" applyAlignment="0" applyProtection="0"/>
  </cellStyleXfs>
  <cellXfs count="700">
    <xf numFmtId="0" fontId="0" fillId="0" borderId="0" xfId="0"/>
    <xf numFmtId="0" fontId="3" fillId="0" borderId="0" xfId="0" applyFont="1"/>
    <xf numFmtId="0" fontId="4" fillId="0" borderId="0" xfId="0" applyFont="1"/>
    <xf numFmtId="0" fontId="5" fillId="0" borderId="0" xfId="0" applyFont="1"/>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indent="1"/>
    </xf>
    <xf numFmtId="0" fontId="6" fillId="0" borderId="0" xfId="0" applyFont="1"/>
    <xf numFmtId="0" fontId="4" fillId="2" borderId="2" xfId="0" applyFont="1" applyFill="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7" fillId="0" borderId="0" xfId="0" applyFont="1"/>
    <xf numFmtId="0" fontId="8" fillId="0" borderId="2" xfId="0" applyFont="1" applyBorder="1" applyAlignment="1">
      <alignment horizontal="center" vertical="center" wrapText="1"/>
    </xf>
    <xf numFmtId="0" fontId="8" fillId="0" borderId="2" xfId="0" applyFont="1" applyBorder="1" applyAlignment="1">
      <alignment horizontal="justify" vertical="center" wrapText="1"/>
    </xf>
    <xf numFmtId="0" fontId="0" fillId="0" borderId="2" xfId="0" applyBorder="1"/>
    <xf numFmtId="0" fontId="9" fillId="3" borderId="2" xfId="0" applyFont="1" applyFill="1" applyBorder="1" applyAlignment="1">
      <alignment horizontal="center" vertical="center" wrapText="1"/>
    </xf>
    <xf numFmtId="0" fontId="4" fillId="0" borderId="2" xfId="0" applyFont="1" applyBorder="1" applyAlignment="1">
      <alignment horizontal="justify" vertical="center" wrapText="1"/>
    </xf>
    <xf numFmtId="0" fontId="10" fillId="0" borderId="0" xfId="0" applyFont="1"/>
    <xf numFmtId="0" fontId="4" fillId="0" borderId="7" xfId="0" applyFont="1" applyBorder="1" applyAlignment="1">
      <alignment vertical="center" wrapText="1"/>
    </xf>
    <xf numFmtId="0" fontId="8" fillId="0" borderId="2" xfId="0" applyFont="1" applyBorder="1" applyAlignment="1">
      <alignment vertical="center" wrapText="1"/>
    </xf>
    <xf numFmtId="0" fontId="11" fillId="3" borderId="2" xfId="0" applyFont="1" applyFill="1" applyBorder="1" applyAlignment="1">
      <alignment vertical="center" wrapText="1"/>
    </xf>
    <xf numFmtId="0" fontId="0" fillId="0" borderId="2" xfId="0" applyBorder="1" applyAlignment="1">
      <alignment horizontal="center" vertical="center" wrapText="1"/>
    </xf>
    <xf numFmtId="0" fontId="12" fillId="0" borderId="4" xfId="0" applyFont="1" applyBorder="1" applyAlignment="1">
      <alignment vertical="center" wrapText="1"/>
    </xf>
    <xf numFmtId="0" fontId="12" fillId="0" borderId="3"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wrapText="1"/>
    </xf>
    <xf numFmtId="0" fontId="11" fillId="0" borderId="0" xfId="0" applyFont="1"/>
    <xf numFmtId="0" fontId="15" fillId="0" borderId="0" xfId="0" applyFont="1"/>
    <xf numFmtId="0" fontId="16" fillId="0" borderId="0" xfId="0" applyFont="1"/>
    <xf numFmtId="0" fontId="17" fillId="0" borderId="0" xfId="0" applyFont="1"/>
    <xf numFmtId="165" fontId="8" fillId="0" borderId="2" xfId="1" applyNumberFormat="1" applyFont="1" applyBorder="1" applyAlignment="1">
      <alignment horizontal="center" vertical="center" wrapText="1"/>
    </xf>
    <xf numFmtId="0" fontId="0" fillId="5" borderId="2" xfId="0" applyFill="1" applyBorder="1" applyAlignment="1">
      <alignment horizontal="center" vertical="center" wrapText="1"/>
    </xf>
    <xf numFmtId="0" fontId="8"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14" fontId="0" fillId="0" borderId="2" xfId="0" applyNumberFormat="1" applyBorder="1" applyAlignment="1">
      <alignment horizontal="center" vertical="center" wrapText="1"/>
    </xf>
    <xf numFmtId="10" fontId="8" fillId="0" borderId="2"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wrapText="1"/>
    </xf>
    <xf numFmtId="166" fontId="0" fillId="0" borderId="0" xfId="0" applyNumberFormat="1"/>
    <xf numFmtId="0" fontId="0" fillId="0" borderId="0" xfId="0" applyAlignment="1">
      <alignment horizontal="center" vertical="center"/>
    </xf>
    <xf numFmtId="0" fontId="18" fillId="0" borderId="0" xfId="0" applyFont="1" applyAlignment="1">
      <alignment vertical="center"/>
    </xf>
    <xf numFmtId="0" fontId="0" fillId="7" borderId="2" xfId="0" applyFill="1" applyBorder="1" applyAlignment="1">
      <alignment horizontal="center" vertical="center" wrapText="1"/>
    </xf>
    <xf numFmtId="0" fontId="0" fillId="8" borderId="2" xfId="0" applyFill="1" applyBorder="1" applyAlignment="1">
      <alignment vertical="center" wrapText="1"/>
    </xf>
    <xf numFmtId="0" fontId="0" fillId="8" borderId="5" xfId="0" applyFill="1" applyBorder="1" applyAlignment="1">
      <alignment vertical="center" wrapText="1"/>
    </xf>
    <xf numFmtId="0" fontId="19" fillId="8" borderId="2" xfId="0" applyFont="1" applyFill="1" applyBorder="1" applyAlignment="1">
      <alignment vertical="center" wrapText="1"/>
    </xf>
    <xf numFmtId="0" fontId="0" fillId="0" borderId="0" xfId="0" applyAlignment="1">
      <alignment horizontal="justify"/>
    </xf>
    <xf numFmtId="0" fontId="0" fillId="0" borderId="2" xfId="0" applyBorder="1" applyAlignment="1">
      <alignment horizontal="center" vertical="center"/>
    </xf>
    <xf numFmtId="0" fontId="0" fillId="7" borderId="2" xfId="0" applyFill="1" applyBorder="1" applyAlignment="1">
      <alignment vertical="center" wrapText="1"/>
    </xf>
    <xf numFmtId="0" fontId="0" fillId="0" borderId="5" xfId="0" applyBorder="1" applyAlignment="1">
      <alignment vertical="center" wrapText="1"/>
    </xf>
    <xf numFmtId="49" fontId="0" fillId="0" borderId="2" xfId="0" applyNumberFormat="1" applyBorder="1" applyAlignment="1">
      <alignment horizontal="center" vertical="center"/>
    </xf>
    <xf numFmtId="49" fontId="11" fillId="0" borderId="2" xfId="0" applyNumberFormat="1" applyFont="1" applyBorder="1" applyAlignment="1">
      <alignment horizontal="center" vertical="center"/>
    </xf>
    <xf numFmtId="0" fontId="11" fillId="7" borderId="2" xfId="0" applyFont="1" applyFill="1" applyBorder="1" applyAlignment="1">
      <alignment vertical="center" wrapText="1"/>
    </xf>
    <xf numFmtId="0" fontId="11" fillId="0" borderId="2" xfId="0" applyFont="1" applyBorder="1" applyAlignment="1">
      <alignment horizontal="center" vertical="center"/>
    </xf>
    <xf numFmtId="0" fontId="24" fillId="0" borderId="0" xfId="0" applyFont="1" applyAlignment="1">
      <alignment horizontal="center" vertical="center"/>
    </xf>
    <xf numFmtId="0" fontId="25" fillId="0" borderId="0" xfId="0" applyFont="1"/>
    <xf numFmtId="0" fontId="4" fillId="7" borderId="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0" borderId="2" xfId="0" applyFont="1" applyBorder="1" applyAlignment="1">
      <alignment vertical="center" wrapText="1"/>
    </xf>
    <xf numFmtId="0" fontId="0" fillId="0" borderId="2" xfId="0" applyBorder="1" applyAlignment="1">
      <alignment vertical="center" wrapText="1"/>
    </xf>
    <xf numFmtId="0" fontId="15" fillId="7" borderId="2" xfId="0" applyFont="1" applyFill="1" applyBorder="1" applyAlignment="1">
      <alignment vertical="center" wrapText="1"/>
    </xf>
    <xf numFmtId="0" fontId="0" fillId="0" borderId="2" xfId="0" applyBorder="1" applyAlignment="1">
      <alignment vertical="top" wrapText="1"/>
    </xf>
    <xf numFmtId="0" fontId="15" fillId="0" borderId="2" xfId="0" applyFont="1" applyBorder="1" applyAlignment="1">
      <alignment horizontal="left" vertical="center"/>
    </xf>
    <xf numFmtId="0" fontId="15" fillId="0" borderId="2" xfId="0" applyFont="1" applyBorder="1" applyAlignment="1">
      <alignment horizontal="center" vertical="center"/>
    </xf>
    <xf numFmtId="0" fontId="15" fillId="0" borderId="2" xfId="0" applyFont="1" applyBorder="1" applyAlignment="1">
      <alignment vertical="center"/>
    </xf>
    <xf numFmtId="0" fontId="0" fillId="0" borderId="0" xfId="0" applyAlignment="1">
      <alignment horizontal="center"/>
    </xf>
    <xf numFmtId="0" fontId="0" fillId="0" borderId="0" xfId="0" applyAlignment="1">
      <alignment vertical="center"/>
    </xf>
    <xf numFmtId="14" fontId="4" fillId="0" borderId="2" xfId="0" applyNumberFormat="1" applyFont="1" applyBorder="1" applyAlignment="1">
      <alignment horizontal="center" vertical="center" wrapText="1"/>
    </xf>
    <xf numFmtId="0" fontId="26" fillId="0" borderId="0" xfId="0" applyFont="1"/>
    <xf numFmtId="165" fontId="8" fillId="0" borderId="2" xfId="1" applyNumberFormat="1" applyFont="1" applyFill="1" applyBorder="1" applyAlignment="1">
      <alignment horizontal="center" vertical="center" wrapText="1"/>
    </xf>
    <xf numFmtId="165" fontId="0" fillId="0" borderId="0" xfId="0" applyNumberFormat="1"/>
    <xf numFmtId="10" fontId="8" fillId="0" borderId="2" xfId="0" applyNumberFormat="1" applyFont="1" applyFill="1" applyBorder="1" applyAlignment="1">
      <alignment horizontal="center" vertical="center" wrapText="1"/>
    </xf>
    <xf numFmtId="9" fontId="8" fillId="0" borderId="2" xfId="2" applyFont="1" applyFill="1" applyBorder="1" applyAlignment="1">
      <alignment horizontal="center" vertical="center" wrapText="1"/>
    </xf>
    <xf numFmtId="165" fontId="0" fillId="0" borderId="5" xfId="1" applyNumberFormat="1" applyFont="1" applyBorder="1" applyAlignment="1">
      <alignment vertical="center" wrapText="1"/>
    </xf>
    <xf numFmtId="0" fontId="27" fillId="0" borderId="0" xfId="0" applyFont="1"/>
    <xf numFmtId="0" fontId="3" fillId="0" borderId="2" xfId="0" applyFont="1" applyBorder="1" applyAlignment="1">
      <alignment horizontal="center" vertical="center"/>
    </xf>
    <xf numFmtId="0" fontId="3" fillId="0" borderId="2" xfId="0" applyFont="1" applyBorder="1" applyAlignment="1">
      <alignment horizontal="justify" vertical="center"/>
    </xf>
    <xf numFmtId="0" fontId="3" fillId="0" borderId="2" xfId="0" applyFont="1" applyBorder="1" applyAlignment="1">
      <alignment vertical="center"/>
    </xf>
    <xf numFmtId="0" fontId="3" fillId="0" borderId="2" xfId="0" applyFont="1" applyBorder="1" applyAlignment="1">
      <alignment vertical="center" wrapText="1"/>
    </xf>
    <xf numFmtId="0" fontId="28" fillId="0" borderId="2" xfId="0" applyFont="1" applyBorder="1" applyAlignment="1">
      <alignment horizontal="center" vertical="center"/>
    </xf>
    <xf numFmtId="0" fontId="28" fillId="0" borderId="2" xfId="0" applyFont="1" applyBorder="1" applyAlignment="1">
      <alignment horizontal="justify" vertical="center"/>
    </xf>
    <xf numFmtId="0" fontId="28" fillId="0" borderId="2" xfId="0" applyFont="1" applyBorder="1" applyAlignment="1">
      <alignment vertical="center" wrapText="1"/>
    </xf>
    <xf numFmtId="0" fontId="3" fillId="0" borderId="2" xfId="0" applyFont="1" applyBorder="1" applyAlignment="1">
      <alignment horizontal="justify" vertical="center" wrapText="1"/>
    </xf>
    <xf numFmtId="0" fontId="10" fillId="0" borderId="0" xfId="0" applyFont="1" applyAlignment="1">
      <alignment wrapText="1"/>
    </xf>
    <xf numFmtId="0" fontId="28" fillId="0" borderId="2" xfId="0" applyFont="1" applyBorder="1" applyAlignment="1">
      <alignment horizontal="justify" vertical="center" wrapText="1"/>
    </xf>
    <xf numFmtId="0" fontId="3" fillId="0" borderId="2" xfId="0" applyFont="1" applyBorder="1" applyAlignment="1">
      <alignment horizontal="left" vertical="center" wrapText="1" indent="1"/>
    </xf>
    <xf numFmtId="0" fontId="32" fillId="0" borderId="0" xfId="0" applyFont="1" applyAlignment="1">
      <alignment vertical="center"/>
    </xf>
    <xf numFmtId="0" fontId="33" fillId="0" borderId="0" xfId="0" applyFont="1" applyAlignment="1">
      <alignment vertical="center"/>
    </xf>
    <xf numFmtId="0" fontId="8" fillId="0" borderId="2" xfId="0" applyFont="1" applyBorder="1" applyAlignment="1">
      <alignment horizontal="left" vertical="center" wrapText="1" indent="1"/>
    </xf>
    <xf numFmtId="0" fontId="9" fillId="0" borderId="2" xfId="0" applyFont="1" applyBorder="1" applyAlignment="1">
      <alignment vertical="center" wrapText="1"/>
    </xf>
    <xf numFmtId="0" fontId="4" fillId="0" borderId="2" xfId="0" applyFont="1" applyBorder="1" applyAlignment="1">
      <alignment horizontal="center" vertical="center"/>
    </xf>
    <xf numFmtId="0" fontId="3" fillId="6" borderId="2" xfId="0" applyFont="1" applyFill="1" applyBorder="1" applyAlignment="1">
      <alignment horizontal="center" vertical="center" wrapText="1"/>
    </xf>
    <xf numFmtId="0" fontId="3" fillId="6" borderId="2" xfId="0" applyFont="1" applyFill="1" applyBorder="1" applyAlignment="1">
      <alignment vertical="center" wrapText="1"/>
    </xf>
    <xf numFmtId="0" fontId="28" fillId="6" borderId="2" xfId="0" applyFont="1" applyFill="1" applyBorder="1" applyAlignment="1">
      <alignment vertical="center" wrapText="1"/>
    </xf>
    <xf numFmtId="0" fontId="5" fillId="0" borderId="0" xfId="0" applyFont="1" applyAlignment="1">
      <alignment vertical="center"/>
    </xf>
    <xf numFmtId="0" fontId="7" fillId="7"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0" borderId="2" xfId="0" quotePrefix="1" applyFont="1" applyBorder="1" applyAlignment="1">
      <alignment horizontal="center"/>
    </xf>
    <xf numFmtId="0" fontId="28" fillId="4" borderId="2" xfId="3" applyFont="1" applyFill="1" applyBorder="1" applyAlignment="1">
      <alignment horizontal="left" vertical="center" wrapText="1" indent="1"/>
    </xf>
    <xf numFmtId="3" fontId="3" fillId="4" borderId="2" xfId="4" applyFont="1" applyFill="1" applyAlignment="1">
      <alignment horizontal="center" vertical="center"/>
      <protection locked="0"/>
    </xf>
    <xf numFmtId="0" fontId="7" fillId="4" borderId="2" xfId="0" applyFont="1" applyFill="1" applyBorder="1"/>
    <xf numFmtId="0" fontId="7" fillId="0" borderId="2" xfId="0" applyFont="1" applyBorder="1"/>
    <xf numFmtId="0" fontId="3" fillId="12" borderId="2" xfId="3" applyFont="1" applyFill="1" applyBorder="1" applyAlignment="1">
      <alignment horizontal="left" vertical="center" wrapText="1" indent="2"/>
    </xf>
    <xf numFmtId="3" fontId="3" fillId="0" borderId="2" xfId="4" applyFont="1" applyFill="1" applyAlignment="1">
      <alignment horizontal="center" vertical="center" wrapText="1"/>
      <protection locked="0"/>
    </xf>
    <xf numFmtId="3" fontId="3" fillId="0" borderId="2" xfId="4" quotePrefix="1" applyFont="1" applyFill="1" applyAlignment="1">
      <alignment horizontal="center" vertical="center" wrapText="1"/>
      <protection locked="0"/>
    </xf>
    <xf numFmtId="0" fontId="3" fillId="0" borderId="2" xfId="3" applyFont="1" applyBorder="1" applyAlignment="1">
      <alignment horizontal="left" vertical="center" wrapText="1" indent="3"/>
    </xf>
    <xf numFmtId="0" fontId="7" fillId="0" borderId="2" xfId="0" quotePrefix="1" applyFont="1" applyBorder="1" applyAlignment="1">
      <alignment horizontal="center" vertical="center"/>
    </xf>
    <xf numFmtId="3" fontId="37" fillId="10" borderId="2" xfId="4" applyFont="1" applyFill="1" applyAlignment="1">
      <alignment horizontal="center" vertical="center"/>
      <protection locked="0"/>
    </xf>
    <xf numFmtId="0" fontId="0" fillId="0" borderId="2" xfId="0" quotePrefix="1" applyBorder="1" applyAlignment="1">
      <alignment horizontal="center" vertical="center"/>
    </xf>
    <xf numFmtId="0" fontId="4" fillId="0" borderId="2" xfId="3" applyFont="1" applyBorder="1" applyAlignment="1">
      <alignment horizontal="left" vertical="center" wrapText="1" indent="1"/>
    </xf>
    <xf numFmtId="3" fontId="4" fillId="0" borderId="2" xfId="4" applyFont="1" applyFill="1" applyAlignment="1">
      <alignment horizontal="center" vertical="center"/>
      <protection locked="0"/>
    </xf>
    <xf numFmtId="0" fontId="34" fillId="0" borderId="0" xfId="0" applyFont="1"/>
    <xf numFmtId="0" fontId="34" fillId="0" borderId="0" xfId="0" applyFont="1" applyAlignment="1">
      <alignment vertical="center" wrapText="1"/>
    </xf>
    <xf numFmtId="0" fontId="11" fillId="0" borderId="5" xfId="0" applyFont="1" applyBorder="1" applyAlignment="1">
      <alignment horizontal="center" vertical="center"/>
    </xf>
    <xf numFmtId="0" fontId="8" fillId="0" borderId="13" xfId="0" applyFont="1" applyBorder="1" applyAlignment="1">
      <alignment horizontal="center" vertical="center" wrapText="1"/>
    </xf>
    <xf numFmtId="0" fontId="4" fillId="0" borderId="2" xfId="0" quotePrefix="1" applyFont="1" applyBorder="1"/>
    <xf numFmtId="0" fontId="0" fillId="0" borderId="2" xfId="0" quotePrefix="1" applyBorder="1" applyAlignment="1">
      <alignment wrapText="1"/>
    </xf>
    <xf numFmtId="0" fontId="4" fillId="0" borderId="2" xfId="0" quotePrefix="1" applyFont="1" applyBorder="1" applyAlignment="1">
      <alignment wrapText="1"/>
    </xf>
    <xf numFmtId="0" fontId="0" fillId="0" borderId="2" xfId="0" quotePrefix="1" applyBorder="1"/>
    <xf numFmtId="0" fontId="9" fillId="0" borderId="0" xfId="0" applyFont="1"/>
    <xf numFmtId="0" fontId="0" fillId="0" borderId="1" xfId="0" applyBorder="1"/>
    <xf numFmtId="0" fontId="4" fillId="0" borderId="2" xfId="5" applyFont="1" applyBorder="1" applyAlignment="1">
      <alignment vertical="center" wrapText="1"/>
    </xf>
    <xf numFmtId="0" fontId="4" fillId="4" borderId="2" xfId="0" applyFont="1" applyFill="1" applyBorder="1" applyAlignment="1">
      <alignment horizontal="center"/>
    </xf>
    <xf numFmtId="0" fontId="4" fillId="4" borderId="2" xfId="0" quotePrefix="1" applyFont="1" applyFill="1" applyBorder="1" applyAlignment="1">
      <alignment wrapText="1"/>
    </xf>
    <xf numFmtId="0" fontId="0" fillId="4" borderId="2" xfId="0" quotePrefix="1" applyFill="1" applyBorder="1" applyAlignment="1">
      <alignment wrapText="1"/>
    </xf>
    <xf numFmtId="0" fontId="8" fillId="7" borderId="2" xfId="0" applyFont="1" applyFill="1" applyBorder="1" applyAlignment="1">
      <alignment vertical="center" wrapText="1"/>
    </xf>
    <xf numFmtId="0" fontId="4" fillId="0" borderId="2" xfId="0" applyFont="1" applyBorder="1" applyAlignment="1">
      <alignment horizontal="justify" vertical="top"/>
    </xf>
    <xf numFmtId="0" fontId="4" fillId="0" borderId="2" xfId="5" applyFont="1" applyBorder="1" applyAlignment="1">
      <alignment horizontal="justify" vertical="top"/>
    </xf>
    <xf numFmtId="0" fontId="0" fillId="0" borderId="2" xfId="0" applyBorder="1" applyAlignment="1">
      <alignment horizontal="left" vertical="center" wrapText="1" indent="1"/>
    </xf>
    <xf numFmtId="0" fontId="0" fillId="4" borderId="2" xfId="0" applyFill="1" applyBorder="1" applyAlignment="1">
      <alignment horizontal="center" vertical="center"/>
    </xf>
    <xf numFmtId="0" fontId="11" fillId="4" borderId="2" xfId="0" applyFont="1" applyFill="1" applyBorder="1" applyAlignment="1">
      <alignment horizontal="justify" vertical="top"/>
    </xf>
    <xf numFmtId="0" fontId="4" fillId="0" borderId="2" xfId="0" applyFont="1" applyBorder="1" applyAlignment="1">
      <alignment horizontal="justify" vertical="center"/>
    </xf>
    <xf numFmtId="0" fontId="4" fillId="0" borderId="2" xfId="0" applyFont="1" applyBorder="1" applyAlignment="1">
      <alignment horizontal="justify" vertical="top" wrapText="1"/>
    </xf>
    <xf numFmtId="0" fontId="4" fillId="4" borderId="2" xfId="5" applyFont="1" applyFill="1" applyBorder="1" applyAlignment="1">
      <alignment horizontal="justify" vertical="center"/>
    </xf>
    <xf numFmtId="0" fontId="0" fillId="4" borderId="2" xfId="5" applyFont="1" applyFill="1" applyBorder="1" applyAlignment="1">
      <alignment horizontal="justify" vertical="top"/>
    </xf>
    <xf numFmtId="0" fontId="5" fillId="0" borderId="2" xfId="0" applyFont="1" applyBorder="1" applyAlignment="1">
      <alignment vertical="center"/>
    </xf>
    <xf numFmtId="0" fontId="4" fillId="4" borderId="2" xfId="0" applyFont="1" applyFill="1" applyBorder="1" applyAlignment="1">
      <alignment horizontal="center" vertical="center"/>
    </xf>
    <xf numFmtId="0" fontId="5" fillId="4" borderId="2" xfId="0" applyFont="1" applyFill="1" applyBorder="1" applyAlignment="1">
      <alignment horizontal="justify" vertical="center"/>
    </xf>
    <xf numFmtId="0" fontId="0" fillId="0" borderId="2" xfId="0" applyBorder="1" applyAlignment="1">
      <alignment horizontal="center"/>
    </xf>
    <xf numFmtId="0" fontId="9" fillId="7" borderId="2" xfId="0" applyFont="1" applyFill="1" applyBorder="1" applyAlignment="1">
      <alignment vertical="center" wrapText="1"/>
    </xf>
    <xf numFmtId="0" fontId="8" fillId="7" borderId="2" xfId="0" applyFont="1" applyFill="1" applyBorder="1" applyAlignment="1">
      <alignment horizontal="left" vertical="center" wrapText="1" indent="1"/>
    </xf>
    <xf numFmtId="0" fontId="4" fillId="7" borderId="2" xfId="0" applyFont="1" applyFill="1" applyBorder="1" applyAlignment="1">
      <alignment horizontal="left" vertical="center" wrapText="1" indent="1"/>
    </xf>
    <xf numFmtId="0" fontId="27"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8" fillId="7" borderId="0" xfId="0" applyFont="1" applyFill="1" applyAlignment="1">
      <alignment vertical="center" wrapText="1"/>
    </xf>
    <xf numFmtId="0" fontId="11" fillId="0" borderId="0" xfId="0" applyFont="1" applyAlignment="1">
      <alignment vertical="center"/>
    </xf>
    <xf numFmtId="0" fontId="42" fillId="0" borderId="0" xfId="0" applyFont="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11" fillId="13" borderId="20" xfId="0" applyFont="1" applyFill="1" applyBorder="1" applyAlignment="1">
      <alignment vertical="center"/>
    </xf>
    <xf numFmtId="0" fontId="11" fillId="13" borderId="26" xfId="0" applyFont="1" applyFill="1" applyBorder="1" applyAlignment="1">
      <alignment vertical="center"/>
    </xf>
    <xf numFmtId="0" fontId="11" fillId="13" borderId="26" xfId="0" applyFont="1" applyFill="1" applyBorder="1" applyAlignment="1">
      <alignment horizontal="center" vertical="center"/>
    </xf>
    <xf numFmtId="0" fontId="11" fillId="13" borderId="31" xfId="0" applyFont="1" applyFill="1" applyBorder="1" applyAlignment="1">
      <alignment vertical="center"/>
    </xf>
    <xf numFmtId="0" fontId="0" fillId="15" borderId="33" xfId="0" applyFill="1" applyBorder="1" applyAlignment="1">
      <alignment vertical="center" wrapText="1"/>
    </xf>
    <xf numFmtId="0" fontId="11" fillId="15" borderId="20" xfId="0" applyFont="1" applyFill="1" applyBorder="1" applyAlignment="1">
      <alignment vertical="center" wrapText="1"/>
    </xf>
    <xf numFmtId="0" fontId="11" fillId="15" borderId="21" xfId="0" applyFont="1" applyFill="1" applyBorder="1" applyAlignment="1">
      <alignment vertical="center" wrapText="1"/>
    </xf>
    <xf numFmtId="0" fontId="0" fillId="0" borderId="32" xfId="0" applyBorder="1" applyAlignment="1">
      <alignment horizontal="center" vertical="center"/>
    </xf>
    <xf numFmtId="0" fontId="15" fillId="0" borderId="33" xfId="0" applyFont="1" applyBorder="1" applyAlignment="1">
      <alignment horizontal="left" vertical="center" wrapText="1" indent="2"/>
    </xf>
    <xf numFmtId="0" fontId="0" fillId="15" borderId="32" xfId="0" applyFill="1" applyBorder="1" applyAlignment="1">
      <alignment horizontal="center" vertical="center"/>
    </xf>
    <xf numFmtId="0" fontId="15" fillId="0" borderId="35" xfId="0" applyFont="1" applyBorder="1" applyAlignment="1">
      <alignment horizontal="left" vertical="center" wrapText="1" indent="2"/>
    </xf>
    <xf numFmtId="0" fontId="11" fillId="0" borderId="32" xfId="0" applyFont="1" applyBorder="1" applyAlignment="1">
      <alignment horizontal="center" vertical="center"/>
    </xf>
    <xf numFmtId="0" fontId="11" fillId="0" borderId="33" xfId="0" applyFont="1" applyBorder="1" applyAlignment="1">
      <alignment vertical="center" wrapText="1"/>
    </xf>
    <xf numFmtId="0" fontId="0" fillId="10" borderId="20" xfId="0" applyFill="1" applyBorder="1" applyAlignment="1">
      <alignment vertical="center"/>
    </xf>
    <xf numFmtId="0" fontId="0" fillId="10" borderId="21" xfId="0" applyFill="1" applyBorder="1" applyAlignment="1">
      <alignment vertical="center"/>
    </xf>
    <xf numFmtId="0" fontId="0" fillId="10" borderId="20" xfId="0" applyFill="1" applyBorder="1" applyAlignment="1">
      <alignment vertical="center" wrapText="1"/>
    </xf>
    <xf numFmtId="0" fontId="0" fillId="10" borderId="20" xfId="0" applyFill="1" applyBorder="1" applyAlignment="1">
      <alignment horizontal="center" vertical="center" wrapText="1"/>
    </xf>
    <xf numFmtId="0" fontId="11" fillId="15" borderId="21" xfId="0" applyFont="1" applyFill="1" applyBorder="1" applyAlignment="1">
      <alignment horizontal="center" vertical="center" wrapText="1"/>
    </xf>
    <xf numFmtId="0" fontId="43" fillId="0" borderId="33" xfId="0" applyFont="1" applyBorder="1" applyAlignment="1">
      <alignment horizontal="left" vertical="center" wrapText="1" indent="2"/>
    </xf>
    <xf numFmtId="0" fontId="15" fillId="0" borderId="33" xfId="0" applyFont="1" applyBorder="1" applyAlignment="1">
      <alignment horizontal="left" vertical="center" wrapText="1" indent="4"/>
    </xf>
    <xf numFmtId="0" fontId="0" fillId="10" borderId="21" xfId="0" applyFill="1" applyBorder="1" applyAlignment="1">
      <alignment vertical="center" wrapText="1"/>
    </xf>
    <xf numFmtId="0" fontId="0" fillId="16" borderId="20" xfId="0" applyFill="1" applyBorder="1" applyAlignment="1">
      <alignment vertical="center" wrapText="1"/>
    </xf>
    <xf numFmtId="0" fontId="0" fillId="10" borderId="21" xfId="0" applyFill="1" applyBorder="1" applyAlignment="1">
      <alignment horizontal="center" vertical="center"/>
    </xf>
    <xf numFmtId="0" fontId="11" fillId="0" borderId="22" xfId="0" applyFont="1" applyBorder="1" applyAlignment="1">
      <alignment vertical="center" wrapText="1"/>
    </xf>
    <xf numFmtId="164" fontId="0" fillId="0" borderId="2" xfId="1" applyFont="1" applyBorder="1"/>
    <xf numFmtId="164" fontId="8" fillId="7" borderId="2" xfId="1" applyFont="1" applyFill="1" applyBorder="1" applyAlignment="1">
      <alignment vertical="center" wrapText="1"/>
    </xf>
    <xf numFmtId="164" fontId="0" fillId="7" borderId="2" xfId="1" applyFont="1" applyFill="1" applyBorder="1" applyAlignment="1">
      <alignment vertical="center" wrapText="1"/>
    </xf>
    <xf numFmtId="164" fontId="35" fillId="7" borderId="2" xfId="1" applyFont="1" applyFill="1" applyBorder="1" applyAlignment="1">
      <alignment vertical="center" wrapText="1"/>
    </xf>
    <xf numFmtId="164" fontId="8" fillId="0" borderId="2" xfId="1" applyFont="1" applyBorder="1" applyAlignment="1">
      <alignment horizontal="center" vertical="center"/>
    </xf>
    <xf numFmtId="164" fontId="8" fillId="0" borderId="2" xfId="1" applyFont="1" applyBorder="1" applyAlignment="1">
      <alignment vertical="center"/>
    </xf>
    <xf numFmtId="165" fontId="8" fillId="0" borderId="2" xfId="1" applyNumberFormat="1" applyFont="1" applyBorder="1" applyAlignment="1">
      <alignment vertical="center"/>
    </xf>
    <xf numFmtId="164" fontId="8" fillId="0" borderId="2" xfId="1" applyNumberFormat="1" applyFont="1" applyBorder="1" applyAlignment="1">
      <alignment vertical="center"/>
    </xf>
    <xf numFmtId="165" fontId="8" fillId="7" borderId="2" xfId="1" applyNumberFormat="1" applyFont="1" applyFill="1" applyBorder="1" applyAlignment="1">
      <alignment horizontal="center" vertical="center" wrapText="1"/>
    </xf>
    <xf numFmtId="165" fontId="8" fillId="0" borderId="2" xfId="1" applyNumberFormat="1" applyFont="1" applyBorder="1" applyAlignment="1">
      <alignment horizontal="center" vertical="center"/>
    </xf>
    <xf numFmtId="0" fontId="0" fillId="0" borderId="2" xfId="0" applyBorder="1" applyAlignment="1">
      <alignment horizontal="center"/>
    </xf>
    <xf numFmtId="0" fontId="0" fillId="0" borderId="11" xfId="0" applyFill="1" applyBorder="1" applyAlignment="1">
      <alignment horizontal="center" vertical="center"/>
    </xf>
    <xf numFmtId="165" fontId="0" fillId="7" borderId="11" xfId="1" applyNumberFormat="1" applyFont="1" applyFill="1" applyBorder="1" applyAlignment="1">
      <alignment vertical="center" wrapText="1"/>
    </xf>
    <xf numFmtId="165" fontId="0" fillId="7" borderId="0" xfId="1" applyNumberFormat="1" applyFont="1" applyFill="1" applyBorder="1" applyAlignment="1">
      <alignment vertical="center" wrapText="1"/>
    </xf>
    <xf numFmtId="165" fontId="11" fillId="15" borderId="20" xfId="1" applyNumberFormat="1" applyFont="1" applyFill="1" applyBorder="1" applyAlignment="1">
      <alignment vertical="center" wrapText="1"/>
    </xf>
    <xf numFmtId="165" fontId="11" fillId="15" borderId="21" xfId="1" applyNumberFormat="1" applyFont="1" applyFill="1" applyBorder="1" applyAlignment="1">
      <alignment vertical="center" wrapText="1"/>
    </xf>
    <xf numFmtId="165" fontId="0" fillId="0" borderId="20" xfId="1" applyNumberFormat="1" applyFont="1" applyBorder="1" applyAlignment="1">
      <alignment vertical="center"/>
    </xf>
    <xf numFmtId="165" fontId="0" fillId="0" borderId="21" xfId="1" applyNumberFormat="1" applyFont="1" applyBorder="1" applyAlignment="1">
      <alignment vertical="center"/>
    </xf>
    <xf numFmtId="165" fontId="0" fillId="0" borderId="33" xfId="1" applyNumberFormat="1" applyFont="1" applyBorder="1" applyAlignment="1">
      <alignment horizontal="center" vertical="center" wrapText="1"/>
    </xf>
    <xf numFmtId="165" fontId="0" fillId="0" borderId="34" xfId="1" applyNumberFormat="1" applyFont="1" applyBorder="1" applyAlignment="1">
      <alignment horizontal="center" vertical="center" wrapText="1"/>
    </xf>
    <xf numFmtId="165" fontId="15" fillId="10" borderId="20" xfId="1" applyNumberFormat="1" applyFont="1" applyFill="1" applyBorder="1" applyAlignment="1">
      <alignment vertical="center" wrapText="1"/>
    </xf>
    <xf numFmtId="165" fontId="11" fillId="15" borderId="33" xfId="1" applyNumberFormat="1" applyFont="1" applyFill="1" applyBorder="1" applyAlignment="1">
      <alignment horizontal="center" vertical="center" wrapText="1"/>
    </xf>
    <xf numFmtId="165" fontId="0" fillId="0" borderId="20" xfId="1" applyNumberFormat="1" applyFont="1" applyBorder="1" applyAlignment="1">
      <alignment vertical="center" wrapText="1"/>
    </xf>
    <xf numFmtId="165" fontId="0" fillId="0" borderId="21" xfId="1" applyNumberFormat="1" applyFont="1" applyBorder="1" applyAlignment="1">
      <alignment vertical="center" wrapText="1"/>
    </xf>
    <xf numFmtId="165" fontId="0" fillId="9" borderId="20" xfId="1" applyNumberFormat="1" applyFont="1" applyFill="1" applyBorder="1" applyAlignment="1">
      <alignment vertical="center" wrapText="1"/>
    </xf>
    <xf numFmtId="165" fontId="15" fillId="10" borderId="21" xfId="1" applyNumberFormat="1" applyFont="1" applyFill="1" applyBorder="1" applyAlignment="1">
      <alignment vertical="center" wrapText="1"/>
    </xf>
    <xf numFmtId="165" fontId="15" fillId="10" borderId="33" xfId="1" applyNumberFormat="1" applyFont="1" applyFill="1" applyBorder="1" applyAlignment="1">
      <alignment vertical="center" wrapText="1"/>
    </xf>
    <xf numFmtId="165" fontId="0" fillId="10" borderId="20" xfId="1" applyNumberFormat="1" applyFont="1" applyFill="1" applyBorder="1" applyAlignment="1">
      <alignment vertical="center"/>
    </xf>
    <xf numFmtId="165" fontId="0" fillId="10" borderId="21" xfId="1" applyNumberFormat="1" applyFont="1" applyFill="1" applyBorder="1" applyAlignment="1">
      <alignment vertical="center"/>
    </xf>
    <xf numFmtId="165" fontId="0" fillId="10" borderId="33" xfId="1" applyNumberFormat="1" applyFont="1" applyFill="1" applyBorder="1" applyAlignment="1">
      <alignment vertical="center"/>
    </xf>
    <xf numFmtId="165" fontId="4" fillId="9" borderId="20" xfId="1" applyNumberFormat="1" applyFont="1" applyFill="1" applyBorder="1" applyAlignment="1">
      <alignment vertical="center" wrapText="1"/>
    </xf>
    <xf numFmtId="165" fontId="4" fillId="9" borderId="21" xfId="1" applyNumberFormat="1" applyFont="1" applyFill="1" applyBorder="1" applyAlignment="1">
      <alignment vertical="center" wrapText="1"/>
    </xf>
    <xf numFmtId="165" fontId="0" fillId="0" borderId="21" xfId="1" applyNumberFormat="1" applyFont="1" applyBorder="1" applyAlignment="1">
      <alignment horizontal="center" vertical="center" wrapText="1"/>
    </xf>
    <xf numFmtId="165" fontId="11" fillId="9" borderId="20" xfId="1" applyNumberFormat="1" applyFont="1" applyFill="1" applyBorder="1" applyAlignment="1">
      <alignment vertical="center" wrapText="1"/>
    </xf>
    <xf numFmtId="165" fontId="11" fillId="9" borderId="21" xfId="1" applyNumberFormat="1" applyFont="1" applyFill="1" applyBorder="1" applyAlignment="1">
      <alignment vertical="center" wrapText="1"/>
    </xf>
    <xf numFmtId="165" fontId="11" fillId="9" borderId="21" xfId="1" applyNumberFormat="1" applyFont="1" applyFill="1" applyBorder="1" applyAlignment="1">
      <alignment horizontal="center" vertical="center" wrapText="1"/>
    </xf>
    <xf numFmtId="165" fontId="11" fillId="9" borderId="34" xfId="1" quotePrefix="1" applyNumberFormat="1" applyFont="1" applyFill="1" applyBorder="1" applyAlignment="1">
      <alignment horizontal="center" vertical="center" wrapText="1"/>
    </xf>
    <xf numFmtId="165" fontId="11" fillId="10" borderId="20" xfId="1" applyNumberFormat="1" applyFont="1" applyFill="1" applyBorder="1" applyAlignment="1">
      <alignment vertical="center" wrapText="1"/>
    </xf>
    <xf numFmtId="165" fontId="11" fillId="10" borderId="21" xfId="1" applyNumberFormat="1" applyFont="1" applyFill="1" applyBorder="1" applyAlignment="1">
      <alignment vertical="center" wrapText="1"/>
    </xf>
    <xf numFmtId="165" fontId="11" fillId="10" borderId="21" xfId="1" applyNumberFormat="1" applyFont="1" applyFill="1" applyBorder="1" applyAlignment="1">
      <alignment horizontal="center" vertical="center" wrapText="1"/>
    </xf>
    <xf numFmtId="165" fontId="11" fillId="15" borderId="21" xfId="1" applyNumberFormat="1" applyFont="1" applyFill="1" applyBorder="1" applyAlignment="1">
      <alignment horizontal="center" vertical="center" wrapText="1"/>
    </xf>
    <xf numFmtId="168" fontId="11" fillId="0" borderId="34" xfId="0" applyNumberFormat="1" applyFont="1" applyBorder="1" applyAlignment="1">
      <alignment horizontal="center" vertical="center"/>
    </xf>
    <xf numFmtId="165" fontId="11" fillId="15" borderId="20" xfId="1" quotePrefix="1" applyNumberFormat="1" applyFont="1" applyFill="1" applyBorder="1" applyAlignment="1">
      <alignment vertical="center" wrapText="1"/>
    </xf>
    <xf numFmtId="9" fontId="0" fillId="0" borderId="22" xfId="2" applyFont="1" applyBorder="1" applyAlignment="1">
      <alignment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44" fillId="0" borderId="0" xfId="0" applyFont="1" applyAlignment="1">
      <alignment vertical="center"/>
    </xf>
    <xf numFmtId="0" fontId="39" fillId="0" borderId="0" xfId="0" applyFont="1"/>
    <xf numFmtId="0" fontId="39" fillId="0" borderId="0" xfId="0" applyFont="1" applyAlignment="1">
      <alignment vertical="center" wrapText="1"/>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16" xfId="0" applyFont="1" applyBorder="1" applyAlignment="1">
      <alignment vertical="center" wrapText="1"/>
    </xf>
    <xf numFmtId="0" fontId="45" fillId="9" borderId="16" xfId="0" applyFont="1" applyFill="1" applyBorder="1" applyAlignment="1">
      <alignment horizontal="center" vertical="center" wrapText="1"/>
    </xf>
    <xf numFmtId="0" fontId="45" fillId="9" borderId="33" xfId="0" applyFont="1" applyFill="1" applyBorder="1" applyAlignment="1">
      <alignment horizontal="center" vertical="center" wrapText="1"/>
    </xf>
    <xf numFmtId="0" fontId="45" fillId="0" borderId="25" xfId="0" applyFont="1" applyBorder="1" applyAlignment="1">
      <alignment horizontal="center" vertical="center" wrapText="1"/>
    </xf>
    <xf numFmtId="49" fontId="45" fillId="0" borderId="21" xfId="0" applyNumberFormat="1" applyFont="1" applyBorder="1" applyAlignment="1">
      <alignment horizontal="center" vertical="center" wrapText="1"/>
    </xf>
    <xf numFmtId="0" fontId="45" fillId="0" borderId="22" xfId="0" applyFont="1" applyBorder="1" applyAlignment="1">
      <alignment vertical="center" wrapText="1"/>
    </xf>
    <xf numFmtId="0" fontId="45" fillId="0" borderId="33" xfId="0" applyFont="1" applyBorder="1" applyAlignment="1">
      <alignment vertical="center" wrapText="1"/>
    </xf>
    <xf numFmtId="49" fontId="46" fillId="7" borderId="32" xfId="0" applyNumberFormat="1" applyFont="1" applyFill="1" applyBorder="1" applyAlignment="1">
      <alignment horizontal="center" vertical="center" wrapText="1"/>
    </xf>
    <xf numFmtId="0" fontId="46" fillId="7" borderId="33" xfId="0" applyFont="1" applyFill="1" applyBorder="1" applyAlignment="1">
      <alignment horizontal="left" vertical="center" wrapText="1" indent="1"/>
    </xf>
    <xf numFmtId="0" fontId="46" fillId="7" borderId="33" xfId="0" applyFont="1" applyFill="1" applyBorder="1" applyAlignment="1">
      <alignment vertical="center" wrapText="1"/>
    </xf>
    <xf numFmtId="49" fontId="45" fillId="0" borderId="32" xfId="0" applyNumberFormat="1" applyFont="1" applyBorder="1" applyAlignment="1">
      <alignment horizontal="center" vertical="center" wrapText="1"/>
    </xf>
    <xf numFmtId="0" fontId="47" fillId="0" borderId="33" xfId="0" applyFont="1" applyBorder="1" applyAlignment="1">
      <alignment vertical="center" wrapText="1"/>
    </xf>
    <xf numFmtId="49" fontId="47" fillId="0" borderId="32" xfId="0" applyNumberFormat="1" applyFont="1" applyBorder="1" applyAlignment="1">
      <alignment horizontal="center" vertical="center" wrapText="1"/>
    </xf>
    <xf numFmtId="0" fontId="48" fillId="0" borderId="0" xfId="0" applyFont="1" applyAlignment="1">
      <alignment vertical="center"/>
    </xf>
    <xf numFmtId="0" fontId="4" fillId="0" borderId="2" xfId="0" applyFont="1" applyBorder="1" applyAlignment="1">
      <alignment wrapText="1"/>
    </xf>
    <xf numFmtId="0" fontId="49" fillId="0" borderId="2" xfId="0" applyFont="1" applyBorder="1" applyAlignment="1">
      <alignment horizontal="center" vertical="center"/>
    </xf>
    <xf numFmtId="0" fontId="49" fillId="0" borderId="2" xfId="0" applyFont="1" applyBorder="1" applyAlignment="1">
      <alignment wrapText="1"/>
    </xf>
    <xf numFmtId="0" fontId="45" fillId="0" borderId="32" xfId="0" applyFont="1" applyBorder="1" applyAlignment="1">
      <alignment horizontal="center" vertical="center" wrapText="1"/>
    </xf>
    <xf numFmtId="0" fontId="51" fillId="0" borderId="33" xfId="0" applyFont="1" applyBorder="1" applyAlignment="1">
      <alignment vertical="center" wrapText="1"/>
    </xf>
    <xf numFmtId="0" fontId="51" fillId="0" borderId="32" xfId="0" applyFont="1" applyBorder="1" applyAlignment="1">
      <alignment vertical="center" wrapText="1"/>
    </xf>
    <xf numFmtId="0" fontId="51" fillId="17" borderId="33" xfId="0" applyFont="1" applyFill="1" applyBorder="1" applyAlignment="1">
      <alignment vertical="center" wrapText="1"/>
    </xf>
    <xf numFmtId="0" fontId="45" fillId="0" borderId="0" xfId="0" applyFont="1" applyAlignment="1">
      <alignment vertical="center" wrapText="1"/>
    </xf>
    <xf numFmtId="0" fontId="45" fillId="0" borderId="28" xfId="0" applyFont="1" applyBorder="1" applyAlignment="1">
      <alignment horizontal="center" vertical="center" wrapText="1"/>
    </xf>
    <xf numFmtId="0" fontId="45" fillId="9" borderId="28" xfId="0" applyFont="1" applyFill="1" applyBorder="1" applyAlignment="1">
      <alignment horizontal="center" vertical="center" wrapText="1"/>
    </xf>
    <xf numFmtId="0" fontId="45" fillId="9" borderId="44" xfId="0" applyFont="1" applyFill="1" applyBorder="1" applyAlignment="1">
      <alignment horizontal="center" vertical="center" wrapText="1"/>
    </xf>
    <xf numFmtId="49" fontId="52" fillId="7" borderId="32" xfId="0" applyNumberFormat="1" applyFont="1" applyFill="1" applyBorder="1" applyAlignment="1">
      <alignment horizontal="center" vertical="center" wrapText="1"/>
    </xf>
    <xf numFmtId="49" fontId="53" fillId="7" borderId="32" xfId="0" applyNumberFormat="1" applyFont="1" applyFill="1" applyBorder="1" applyAlignment="1">
      <alignment horizontal="center" vertical="center" wrapText="1"/>
    </xf>
    <xf numFmtId="3" fontId="4" fillId="0" borderId="2" xfId="0" applyNumberFormat="1" applyFont="1" applyBorder="1" applyAlignment="1">
      <alignment vertical="center" wrapText="1"/>
    </xf>
    <xf numFmtId="3" fontId="4" fillId="2" borderId="2" xfId="0" applyNumberFormat="1" applyFont="1" applyFill="1" applyBorder="1" applyAlignment="1">
      <alignment vertical="center" wrapText="1"/>
    </xf>
    <xf numFmtId="3" fontId="5" fillId="0" borderId="2" xfId="0" applyNumberFormat="1" applyFont="1" applyBorder="1" applyAlignment="1">
      <alignment vertical="center" wrapText="1"/>
    </xf>
    <xf numFmtId="0" fontId="7" fillId="0" borderId="0" xfId="0" applyFont="1" applyFill="1"/>
    <xf numFmtId="0" fontId="0" fillId="0" borderId="0" xfId="0" applyFill="1"/>
    <xf numFmtId="0" fontId="0" fillId="0" borderId="2" xfId="0" applyFont="1" applyBorder="1" applyAlignment="1">
      <alignment vertical="center" wrapText="1"/>
    </xf>
    <xf numFmtId="0" fontId="0" fillId="8" borderId="2" xfId="0" applyFont="1" applyFill="1" applyBorder="1" applyAlignment="1">
      <alignment vertical="center" wrapText="1"/>
    </xf>
    <xf numFmtId="3" fontId="0" fillId="0" borderId="2" xfId="0" applyNumberFormat="1" applyFont="1" applyFill="1" applyBorder="1" applyAlignment="1">
      <alignment vertical="center" wrapText="1"/>
    </xf>
    <xf numFmtId="3" fontId="0" fillId="0" borderId="2" xfId="0" applyNumberFormat="1" applyFont="1" applyBorder="1" applyAlignment="1">
      <alignment vertical="center" wrapText="1"/>
    </xf>
    <xf numFmtId="3" fontId="0" fillId="7" borderId="2" xfId="0" applyNumberFormat="1" applyFont="1" applyFill="1" applyBorder="1" applyAlignment="1">
      <alignment vertical="center" wrapText="1"/>
    </xf>
    <xf numFmtId="3" fontId="0" fillId="0" borderId="0" xfId="0" applyNumberFormat="1"/>
    <xf numFmtId="165" fontId="11" fillId="0" borderId="5" xfId="1" applyNumberFormat="1" applyFont="1" applyBorder="1" applyAlignment="1">
      <alignment vertical="center" wrapText="1"/>
    </xf>
    <xf numFmtId="3" fontId="11" fillId="0" borderId="2" xfId="0" applyNumberFormat="1" applyFont="1" applyFill="1" applyBorder="1" applyAlignment="1">
      <alignment vertical="center" wrapText="1"/>
    </xf>
    <xf numFmtId="3" fontId="11" fillId="0" borderId="2" xfId="0" applyNumberFormat="1" applyFont="1" applyBorder="1" applyAlignment="1">
      <alignment vertical="center" wrapText="1"/>
    </xf>
    <xf numFmtId="3" fontId="11" fillId="7" borderId="2" xfId="0" applyNumberFormat="1" applyFont="1" applyFill="1" applyBorder="1" applyAlignment="1">
      <alignment vertical="center" wrapText="1"/>
    </xf>
    <xf numFmtId="3" fontId="0" fillId="0" borderId="2" xfId="0" applyNumberFormat="1" applyBorder="1" applyAlignment="1">
      <alignment vertical="center" wrapText="1"/>
    </xf>
    <xf numFmtId="3" fontId="0" fillId="0" borderId="2" xfId="0" applyNumberFormat="1" applyBorder="1" applyAlignment="1">
      <alignment horizontal="center" vertical="center" wrapText="1"/>
    </xf>
    <xf numFmtId="3" fontId="0" fillId="4" borderId="2" xfId="0" applyNumberFormat="1" applyFill="1" applyBorder="1" applyAlignment="1">
      <alignment vertical="center" wrapText="1"/>
    </xf>
    <xf numFmtId="3" fontId="3" fillId="0" borderId="2" xfId="0" applyNumberFormat="1" applyFont="1" applyBorder="1" applyAlignment="1">
      <alignment vertical="center"/>
    </xf>
    <xf numFmtId="3" fontId="28" fillId="0" borderId="2" xfId="0" applyNumberFormat="1" applyFont="1" applyBorder="1" applyAlignment="1">
      <alignment vertical="center"/>
    </xf>
    <xf numFmtId="167" fontId="3" fillId="0" borderId="2" xfId="2" applyNumberFormat="1" applyFont="1" applyBorder="1" applyAlignment="1">
      <alignment vertical="center"/>
    </xf>
    <xf numFmtId="3" fontId="4" fillId="0" borderId="2" xfId="1" quotePrefix="1" applyNumberFormat="1" applyFont="1" applyFill="1" applyBorder="1"/>
    <xf numFmtId="3" fontId="4" fillId="0" borderId="2" xfId="0" quotePrefix="1" applyNumberFormat="1" applyFont="1" applyFill="1" applyBorder="1"/>
    <xf numFmtId="3" fontId="0" fillId="0" borderId="2" xfId="0" quotePrefix="1" applyNumberFormat="1" applyFill="1" applyBorder="1" applyAlignment="1">
      <alignment wrapText="1"/>
    </xf>
    <xf numFmtId="3" fontId="10" fillId="0" borderId="2" xfId="0" quotePrefix="1" applyNumberFormat="1" applyFont="1" applyFill="1" applyBorder="1" applyAlignment="1">
      <alignment wrapText="1"/>
    </xf>
    <xf numFmtId="3" fontId="4" fillId="0" borderId="2" xfId="0" quotePrefix="1" applyNumberFormat="1" applyFont="1" applyFill="1" applyBorder="1" applyAlignment="1">
      <alignment wrapText="1"/>
    </xf>
    <xf numFmtId="3" fontId="0" fillId="0" borderId="2" xfId="1" quotePrefix="1" applyNumberFormat="1" applyFont="1" applyFill="1" applyBorder="1" applyAlignment="1">
      <alignment wrapText="1"/>
    </xf>
    <xf numFmtId="3" fontId="0" fillId="0" borderId="2" xfId="0" quotePrefix="1" applyNumberFormat="1" applyFill="1" applyBorder="1"/>
    <xf numFmtId="3" fontId="0" fillId="0" borderId="2" xfId="0" quotePrefix="1" applyNumberFormat="1" applyBorder="1"/>
    <xf numFmtId="3" fontId="4" fillId="0" borderId="2" xfId="0" quotePrefix="1" applyNumberFormat="1" applyFont="1" applyBorder="1" applyAlignment="1">
      <alignment wrapText="1"/>
    </xf>
    <xf numFmtId="3" fontId="4" fillId="0" borderId="2" xfId="0" quotePrefix="1" applyNumberFormat="1" applyFont="1" applyBorder="1"/>
    <xf numFmtId="3" fontId="4" fillId="0" borderId="2" xfId="0" applyNumberFormat="1" applyFont="1" applyBorder="1"/>
    <xf numFmtId="3" fontId="0" fillId="4" borderId="2" xfId="0" quotePrefix="1" applyNumberFormat="1" applyFill="1" applyBorder="1" applyAlignment="1">
      <alignment wrapText="1"/>
    </xf>
    <xf numFmtId="3" fontId="5" fillId="4" borderId="2" xfId="0" applyNumberFormat="1" applyFont="1" applyFill="1" applyBorder="1" applyAlignment="1">
      <alignment horizontal="right" vertical="top"/>
    </xf>
    <xf numFmtId="167" fontId="4" fillId="0" borderId="2" xfId="2" quotePrefix="1" applyNumberFormat="1" applyFont="1" applyBorder="1" applyAlignment="1">
      <alignment wrapText="1"/>
    </xf>
    <xf numFmtId="167" fontId="4" fillId="0" borderId="2" xfId="0" quotePrefix="1" applyNumberFormat="1" applyFont="1" applyBorder="1" applyAlignment="1">
      <alignment wrapText="1"/>
    </xf>
    <xf numFmtId="167" fontId="4" fillId="0" borderId="2" xfId="2" quotePrefix="1" applyNumberFormat="1" applyFont="1" applyBorder="1"/>
    <xf numFmtId="167" fontId="0" fillId="0" borderId="2" xfId="0" quotePrefix="1" applyNumberFormat="1" applyBorder="1"/>
    <xf numFmtId="0" fontId="11" fillId="0" borderId="2" xfId="0" applyFont="1" applyBorder="1" applyAlignment="1">
      <alignment wrapText="1"/>
    </xf>
    <xf numFmtId="3" fontId="0" fillId="0" borderId="2" xfId="0" quotePrefix="1" applyNumberFormat="1" applyBorder="1" applyAlignment="1">
      <alignment wrapText="1"/>
    </xf>
    <xf numFmtId="0" fontId="54" fillId="0" borderId="2" xfId="0" applyFont="1" applyBorder="1" applyAlignment="1">
      <alignment horizontal="right"/>
    </xf>
    <xf numFmtId="0" fontId="34" fillId="0" borderId="0" xfId="0" applyFont="1" applyAlignment="1">
      <alignment horizontal="left" vertical="center"/>
    </xf>
    <xf numFmtId="0" fontId="4" fillId="0" borderId="0" xfId="0" applyFont="1" applyAlignment="1">
      <alignment vertical="center"/>
    </xf>
    <xf numFmtId="3" fontId="45" fillId="0" borderId="22" xfId="0" applyNumberFormat="1" applyFont="1" applyBorder="1" applyAlignment="1">
      <alignment vertical="center"/>
    </xf>
    <xf numFmtId="3" fontId="45" fillId="0" borderId="33" xfId="0" applyNumberFormat="1" applyFont="1" applyBorder="1" applyAlignment="1">
      <alignment vertical="center"/>
    </xf>
    <xf numFmtId="0" fontId="45" fillId="0" borderId="33" xfId="0" applyFont="1" applyBorder="1" applyAlignment="1">
      <alignment vertical="center"/>
    </xf>
    <xf numFmtId="3" fontId="52" fillId="7" borderId="33" xfId="0" applyNumberFormat="1" applyFont="1" applyFill="1" applyBorder="1" applyAlignment="1">
      <alignment vertical="center"/>
    </xf>
    <xf numFmtId="3" fontId="45" fillId="17" borderId="33" xfId="0" applyNumberFormat="1" applyFont="1" applyFill="1" applyBorder="1" applyAlignment="1">
      <alignment vertical="center"/>
    </xf>
    <xf numFmtId="0" fontId="47" fillId="0" borderId="33" xfId="0" applyFont="1" applyBorder="1" applyAlignment="1">
      <alignment vertical="center"/>
    </xf>
    <xf numFmtId="3" fontId="50" fillId="0" borderId="33" xfId="0" applyNumberFormat="1" applyFont="1" applyBorder="1" applyAlignment="1">
      <alignment vertical="center"/>
    </xf>
    <xf numFmtId="0" fontId="0" fillId="0" borderId="0" xfId="0" applyFont="1"/>
    <xf numFmtId="0" fontId="4" fillId="0" borderId="2" xfId="0" applyFont="1" applyBorder="1" applyAlignment="1">
      <alignment horizontal="left" vertical="center" wrapText="1"/>
    </xf>
    <xf numFmtId="0" fontId="57" fillId="0" borderId="0" xfId="0" applyFont="1" applyAlignment="1">
      <alignment vertical="center"/>
    </xf>
    <xf numFmtId="0" fontId="0" fillId="0" borderId="0" xfId="0" applyAlignment="1">
      <alignment vertical="center" wrapText="1"/>
    </xf>
    <xf numFmtId="0" fontId="58" fillId="0" borderId="0" xfId="0" applyFont="1" applyAlignment="1">
      <alignment vertical="center" wrapText="1"/>
    </xf>
    <xf numFmtId="0" fontId="55" fillId="0" borderId="0" xfId="0" applyFont="1" applyAlignment="1">
      <alignment horizontal="left"/>
    </xf>
    <xf numFmtId="0" fontId="56" fillId="0" borderId="0" xfId="0" applyFont="1"/>
    <xf numFmtId="0" fontId="57" fillId="0" borderId="0" xfId="0" applyFont="1" applyAlignment="1">
      <alignment vertical="center" wrapText="1"/>
    </xf>
    <xf numFmtId="0" fontId="59" fillId="9" borderId="14" xfId="0" applyFont="1" applyFill="1" applyBorder="1" applyAlignment="1">
      <alignment horizontal="center" vertical="center" wrapText="1"/>
    </xf>
    <xf numFmtId="0" fontId="59" fillId="9" borderId="8" xfId="0" applyFont="1" applyFill="1" applyBorder="1" applyAlignment="1">
      <alignment horizontal="center" vertical="center" wrapText="1"/>
    </xf>
    <xf numFmtId="0" fontId="59" fillId="9" borderId="6" xfId="0" applyFont="1" applyFill="1" applyBorder="1" applyAlignment="1">
      <alignment vertical="center" wrapText="1"/>
    </xf>
    <xf numFmtId="0" fontId="59" fillId="9" borderId="5" xfId="0" applyFont="1" applyFill="1" applyBorder="1" applyAlignment="1">
      <alignment vertical="center" wrapText="1"/>
    </xf>
    <xf numFmtId="0" fontId="59" fillId="9" borderId="15" xfId="0" applyFont="1" applyFill="1" applyBorder="1" applyAlignment="1">
      <alignment horizontal="center" vertical="center" wrapText="1"/>
    </xf>
    <xf numFmtId="0" fontId="59" fillId="9" borderId="11" xfId="0" applyFont="1" applyFill="1" applyBorder="1" applyAlignment="1">
      <alignment horizontal="center" vertical="center" wrapText="1"/>
    </xf>
    <xf numFmtId="0" fontId="59" fillId="9" borderId="5" xfId="0" applyFont="1" applyFill="1" applyBorder="1" applyAlignment="1">
      <alignment horizontal="center" vertical="center" wrapText="1"/>
    </xf>
    <xf numFmtId="0" fontId="59" fillId="9" borderId="13" xfId="0" applyFont="1" applyFill="1" applyBorder="1" applyAlignment="1">
      <alignment horizontal="center" vertical="center" wrapText="1"/>
    </xf>
    <xf numFmtId="0" fontId="59" fillId="9" borderId="12" xfId="0" applyFont="1" applyFill="1" applyBorder="1" applyAlignment="1">
      <alignment horizontal="center" vertical="center" wrapText="1"/>
    </xf>
    <xf numFmtId="0" fontId="57" fillId="0" borderId="2"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2" xfId="0" applyFont="1" applyBorder="1" applyAlignment="1">
      <alignment vertical="center" wrapText="1"/>
    </xf>
    <xf numFmtId="0" fontId="60" fillId="0" borderId="2" xfId="0" applyFont="1" applyBorder="1" applyAlignment="1">
      <alignment vertical="center" wrapText="1"/>
    </xf>
    <xf numFmtId="0" fontId="61" fillId="0" borderId="2" xfId="0" applyFont="1" applyBorder="1" applyAlignment="1">
      <alignment horizontal="center" vertical="center" wrapText="1"/>
    </xf>
    <xf numFmtId="0" fontId="0" fillId="0" borderId="0" xfId="0" applyAlignment="1">
      <alignment horizontal="center" vertical="center" wrapText="1"/>
    </xf>
    <xf numFmtId="0" fontId="11" fillId="0" borderId="0" xfId="0" applyFont="1" applyAlignment="1">
      <alignment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62"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63" fillId="0" borderId="2" xfId="0" applyFont="1" applyBorder="1" applyAlignment="1">
      <alignment vertical="center" wrapText="1"/>
    </xf>
    <xf numFmtId="9" fontId="11" fillId="0" borderId="5"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0" fontId="4" fillId="0" borderId="5" xfId="0" applyFont="1" applyBorder="1" applyAlignment="1">
      <alignment horizontal="center" vertical="center"/>
    </xf>
    <xf numFmtId="0" fontId="64" fillId="0" borderId="0" xfId="3" applyFont="1">
      <alignment vertical="center"/>
    </xf>
    <xf numFmtId="0" fontId="2" fillId="0" borderId="0" xfId="0" applyFont="1"/>
    <xf numFmtId="0" fontId="4" fillId="0" borderId="2" xfId="0" applyFont="1" applyBorder="1" applyAlignment="1">
      <alignment horizontal="center"/>
    </xf>
    <xf numFmtId="0" fontId="11" fillId="0" borderId="0" xfId="0" applyFont="1" applyAlignment="1">
      <alignment horizontal="center"/>
    </xf>
    <xf numFmtId="0" fontId="0" fillId="0" borderId="0" xfId="0" applyAlignment="1">
      <alignment wrapText="1"/>
    </xf>
    <xf numFmtId="0" fontId="67" fillId="0" borderId="0" xfId="0" applyFont="1" applyAlignment="1">
      <alignment vertical="center"/>
    </xf>
    <xf numFmtId="0" fontId="2" fillId="0" borderId="0" xfId="0"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wrapText="1"/>
    </xf>
    <xf numFmtId="0" fontId="66" fillId="0" borderId="2" xfId="0" applyFont="1" applyBorder="1" applyAlignment="1">
      <alignment vertical="center" wrapText="1"/>
    </xf>
    <xf numFmtId="0" fontId="66" fillId="0" borderId="2" xfId="0" applyFont="1" applyBorder="1" applyAlignment="1">
      <alignment horizontal="center" vertical="center" wrapText="1"/>
    </xf>
    <xf numFmtId="0" fontId="65" fillId="0" borderId="2" xfId="0" applyFont="1" applyBorder="1" applyAlignment="1">
      <alignment horizontal="justify" vertical="center" wrapText="1"/>
    </xf>
    <xf numFmtId="0" fontId="66" fillId="3" borderId="2" xfId="0" applyFont="1" applyFill="1" applyBorder="1" applyAlignment="1">
      <alignment vertical="center"/>
    </xf>
    <xf numFmtId="0" fontId="66" fillId="0" borderId="0" xfId="0" applyFont="1" applyAlignment="1">
      <alignment horizontal="left" vertical="top" wrapText="1"/>
    </xf>
    <xf numFmtId="0" fontId="2" fillId="0" borderId="2" xfId="0" applyFont="1" applyBorder="1" applyAlignment="1">
      <alignment horizontal="center" wrapText="1"/>
    </xf>
    <xf numFmtId="0" fontId="66" fillId="0" borderId="2" xfId="0" applyFont="1" applyBorder="1" applyAlignment="1">
      <alignment horizontal="left" vertical="center" wrapText="1" indent="3"/>
    </xf>
    <xf numFmtId="0" fontId="65" fillId="0" borderId="2" xfId="0" applyFont="1" applyBorder="1" applyAlignment="1">
      <alignment vertical="center" wrapText="1"/>
    </xf>
    <xf numFmtId="0" fontId="66" fillId="0" borderId="2" xfId="0" applyFont="1" applyBorder="1" applyAlignment="1">
      <alignment horizontal="left" vertical="center" wrapText="1" indent="2"/>
    </xf>
    <xf numFmtId="0" fontId="11" fillId="0" borderId="0" xfId="0" applyFont="1" applyAlignment="1">
      <alignment horizontal="center" vertical="center" wrapText="1"/>
    </xf>
    <xf numFmtId="0" fontId="27" fillId="0" borderId="0" xfId="0" applyFont="1" applyAlignment="1">
      <alignment horizontal="left" vertical="center"/>
    </xf>
    <xf numFmtId="0" fontId="0" fillId="0" borderId="0" xfId="0" applyAlignment="1">
      <alignment horizontal="left" vertical="center"/>
    </xf>
    <xf numFmtId="0" fontId="70" fillId="0" borderId="0" xfId="0" applyFont="1" applyAlignment="1">
      <alignment horizontal="left" vertical="center"/>
    </xf>
    <xf numFmtId="49" fontId="4" fillId="0" borderId="2" xfId="7" applyNumberFormat="1" applyFont="1" applyBorder="1" applyAlignment="1">
      <alignment horizontal="center" vertical="center" wrapText="1"/>
    </xf>
    <xf numFmtId="49" fontId="4" fillId="0" borderId="2" xfId="7" quotePrefix="1" applyNumberFormat="1" applyFont="1" applyBorder="1" applyAlignment="1">
      <alignment horizontal="center" vertical="center" wrapText="1"/>
    </xf>
    <xf numFmtId="0" fontId="4" fillId="0" borderId="2" xfId="7" applyFont="1" applyBorder="1" applyAlignment="1">
      <alignment horizontal="center" vertical="center" wrapText="1"/>
    </xf>
    <xf numFmtId="0" fontId="4" fillId="0" borderId="2" xfId="7" applyFont="1" applyBorder="1" applyAlignment="1">
      <alignment horizontal="left" vertical="center" wrapText="1"/>
    </xf>
    <xf numFmtId="0" fontId="4" fillId="0" borderId="2" xfId="7" applyFont="1" applyBorder="1" applyAlignment="1">
      <alignment vertical="center" wrapText="1"/>
    </xf>
    <xf numFmtId="0" fontId="71" fillId="0" borderId="2" xfId="7" applyFont="1" applyBorder="1" applyAlignment="1">
      <alignment horizontal="left" vertical="center" wrapText="1" indent="2"/>
    </xf>
    <xf numFmtId="0" fontId="4" fillId="4" borderId="2" xfId="7" applyFont="1" applyFill="1" applyBorder="1" applyAlignment="1">
      <alignment horizontal="center" vertical="center" wrapText="1"/>
    </xf>
    <xf numFmtId="0" fontId="4" fillId="4" borderId="2" xfId="7" applyFont="1" applyFill="1" applyBorder="1" applyAlignment="1">
      <alignment wrapText="1"/>
    </xf>
    <xf numFmtId="0" fontId="72" fillId="0" borderId="2" xfId="7" applyFont="1" applyBorder="1"/>
    <xf numFmtId="0" fontId="4" fillId="0" borderId="2" xfId="7" applyFont="1" applyBorder="1"/>
    <xf numFmtId="0" fontId="4" fillId="4" borderId="2" xfId="7" applyFont="1" applyFill="1" applyBorder="1"/>
    <xf numFmtId="0" fontId="4" fillId="0" borderId="2" xfId="7" quotePrefix="1" applyFont="1" applyBorder="1" applyAlignment="1">
      <alignment horizontal="center" vertical="center" wrapText="1"/>
    </xf>
    <xf numFmtId="0" fontId="73" fillId="0" borderId="0" xfId="0" applyFont="1"/>
    <xf numFmtId="0" fontId="4" fillId="0" borderId="2" xfId="0" applyFont="1" applyBorder="1"/>
    <xf numFmtId="0" fontId="4" fillId="0" borderId="2" xfId="0" applyFont="1" applyBorder="1" applyAlignment="1">
      <alignment horizontal="left" indent="2"/>
    </xf>
    <xf numFmtId="0" fontId="4" fillId="0" borderId="2" xfId="0" applyFont="1" applyBorder="1" applyAlignment="1">
      <alignment horizontal="left" wrapText="1" indent="2"/>
    </xf>
    <xf numFmtId="0" fontId="4" fillId="0" borderId="2" xfId="0" applyFont="1" applyBorder="1" applyAlignment="1">
      <alignment horizontal="left" indent="4"/>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14" xfId="0" applyFont="1" applyBorder="1" applyAlignment="1">
      <alignment horizontal="center"/>
    </xf>
    <xf numFmtId="0" fontId="75" fillId="0" borderId="0" xfId="8" applyFont="1" applyAlignment="1">
      <alignment horizontal="left" vertical="center"/>
    </xf>
    <xf numFmtId="49" fontId="76" fillId="4" borderId="52" xfId="8" applyNumberFormat="1" applyFont="1" applyFill="1" applyBorder="1" applyAlignment="1">
      <alignment horizontal="center" vertical="center" wrapText="1"/>
    </xf>
    <xf numFmtId="49" fontId="75" fillId="4" borderId="53" xfId="8" applyNumberFormat="1" applyFont="1" applyFill="1" applyBorder="1" applyAlignment="1">
      <alignment horizontal="center" vertical="center" wrapText="1"/>
    </xf>
    <xf numFmtId="49" fontId="75" fillId="4" borderId="2" xfId="8" applyNumberFormat="1" applyFont="1" applyFill="1" applyBorder="1" applyAlignment="1">
      <alignment horizontal="center" vertical="center" wrapText="1"/>
    </xf>
    <xf numFmtId="49" fontId="75" fillId="4" borderId="54" xfId="8" applyNumberFormat="1" applyFont="1" applyFill="1" applyBorder="1" applyAlignment="1">
      <alignment horizontal="center" vertical="center" wrapText="1"/>
    </xf>
    <xf numFmtId="49" fontId="75" fillId="4" borderId="55" xfId="8" applyNumberFormat="1" applyFont="1" applyFill="1" applyBorder="1" applyAlignment="1">
      <alignment horizontal="center" vertical="center" wrapText="1"/>
    </xf>
    <xf numFmtId="0" fontId="75" fillId="4" borderId="2" xfId="9" applyFont="1" applyFill="1" applyBorder="1" applyAlignment="1">
      <alignment horizontal="center" vertical="center" wrapText="1"/>
    </xf>
    <xf numFmtId="0" fontId="5" fillId="0" borderId="2" xfId="0" applyFont="1" applyBorder="1"/>
    <xf numFmtId="0" fontId="77" fillId="13" borderId="56" xfId="8" applyFont="1" applyFill="1" applyBorder="1" applyAlignment="1">
      <alignment wrapText="1"/>
    </xf>
    <xf numFmtId="0" fontId="78" fillId="0" borderId="57" xfId="8" applyFont="1" applyBorder="1" applyAlignment="1">
      <alignment horizontal="center" wrapText="1"/>
    </xf>
    <xf numFmtId="0" fontId="5" fillId="0" borderId="2" xfId="0" applyFont="1" applyBorder="1" applyAlignment="1">
      <alignment horizontal="left" indent="1"/>
    </xf>
    <xf numFmtId="0" fontId="77" fillId="13" borderId="59" xfId="8" applyFont="1" applyFill="1" applyBorder="1" applyAlignment="1">
      <alignment wrapText="1"/>
    </xf>
    <xf numFmtId="0" fontId="77" fillId="13" borderId="60" xfId="8" applyFont="1" applyFill="1" applyBorder="1" applyAlignment="1">
      <alignment wrapText="1"/>
    </xf>
    <xf numFmtId="0" fontId="78" fillId="13" borderId="60" xfId="8" applyFont="1" applyFill="1" applyBorder="1" applyAlignment="1">
      <alignment horizontal="center" wrapText="1"/>
    </xf>
    <xf numFmtId="0" fontId="5" fillId="9" borderId="2" xfId="0" applyFont="1" applyFill="1" applyBorder="1" applyAlignment="1">
      <alignment horizontal="left" indent="1"/>
    </xf>
    <xf numFmtId="0" fontId="36" fillId="0" borderId="0" xfId="6">
      <alignment vertical="center"/>
    </xf>
    <xf numFmtId="0" fontId="18" fillId="0" borderId="0" xfId="10" applyFont="1" applyFill="1" applyBorder="1" applyAlignment="1">
      <alignment horizontal="left" vertical="center"/>
    </xf>
    <xf numFmtId="0" fontId="79" fillId="0" borderId="0" xfId="11" applyFill="1" applyBorder="1" applyAlignment="1">
      <alignment vertical="center"/>
    </xf>
    <xf numFmtId="0" fontId="69" fillId="0" borderId="0" xfId="10" applyFill="1" applyBorder="1" applyAlignment="1">
      <alignment vertical="center"/>
    </xf>
    <xf numFmtId="0" fontId="69" fillId="0" borderId="0" xfId="10" applyFill="1" applyBorder="1" applyAlignment="1">
      <alignment horizontal="left" vertical="center"/>
    </xf>
    <xf numFmtId="0" fontId="5" fillId="0" borderId="0" xfId="10" applyFont="1" applyFill="1" applyBorder="1" applyAlignment="1">
      <alignment vertical="center"/>
    </xf>
    <xf numFmtId="0" fontId="4" fillId="0" borderId="0" xfId="6" applyFont="1">
      <alignment vertical="center"/>
    </xf>
    <xf numFmtId="0" fontId="5" fillId="9" borderId="13" xfId="3" applyFont="1" applyFill="1" applyBorder="1" applyAlignment="1">
      <alignment horizontal="center" vertical="center" wrapText="1"/>
    </xf>
    <xf numFmtId="0" fontId="5" fillId="0" borderId="2" xfId="12" applyFont="1" applyFill="1" applyBorder="1" applyAlignment="1">
      <alignment horizontal="center" vertical="center" wrapText="1"/>
    </xf>
    <xf numFmtId="0" fontId="5" fillId="9" borderId="4" xfId="3" applyFont="1" applyFill="1" applyBorder="1" applyAlignment="1">
      <alignment horizontal="center" vertical="center" wrapText="1"/>
    </xf>
    <xf numFmtId="0" fontId="4" fillId="0" borderId="0" xfId="3" applyFont="1">
      <alignment vertical="center"/>
    </xf>
    <xf numFmtId="0" fontId="4" fillId="0" borderId="2" xfId="3" quotePrefix="1" applyFont="1" applyBorder="1" applyAlignment="1">
      <alignment horizontal="center" vertical="center"/>
    </xf>
    <xf numFmtId="0" fontId="5" fillId="0" borderId="2" xfId="3" quotePrefix="1" applyFont="1" applyBorder="1" applyAlignment="1">
      <alignment horizontal="center" vertical="center"/>
    </xf>
    <xf numFmtId="0" fontId="5" fillId="0" borderId="14" xfId="3" applyFont="1" applyBorder="1" applyAlignment="1">
      <alignment horizontal="left" vertical="center" wrapText="1" indent="1"/>
    </xf>
    <xf numFmtId="3" fontId="4" fillId="18" borderId="2" xfId="4" applyFont="1" applyFill="1" applyAlignment="1">
      <alignment horizontal="center" vertical="center"/>
      <protection locked="0"/>
    </xf>
    <xf numFmtId="3" fontId="4" fillId="18" borderId="5" xfId="4" applyFont="1" applyFill="1" applyBorder="1" applyAlignment="1">
      <alignment horizontal="center" vertical="center"/>
      <protection locked="0"/>
    </xf>
    <xf numFmtId="0" fontId="4" fillId="0" borderId="5" xfId="3" applyFont="1" applyBorder="1" applyAlignment="1">
      <alignment horizontal="left" vertical="center" wrapText="1" indent="2"/>
    </xf>
    <xf numFmtId="3" fontId="4" fillId="0" borderId="5" xfId="4" applyFont="1" applyFill="1" applyBorder="1" applyAlignment="1">
      <alignment horizontal="center" vertical="center"/>
      <protection locked="0"/>
    </xf>
    <xf numFmtId="0" fontId="4" fillId="0" borderId="10" xfId="3" applyFont="1" applyBorder="1" applyAlignment="1">
      <alignment horizontal="left" vertical="center" wrapText="1" indent="3"/>
    </xf>
    <xf numFmtId="0" fontId="80" fillId="0" borderId="10" xfId="3" applyFont="1" applyBorder="1" applyAlignment="1">
      <alignment horizontal="left" vertical="center" wrapText="1" indent="3"/>
    </xf>
    <xf numFmtId="3" fontId="74" fillId="18" borderId="2" xfId="4" applyFont="1" applyFill="1" applyAlignment="1">
      <alignment horizontal="center" vertical="center"/>
      <protection locked="0"/>
    </xf>
    <xf numFmtId="3" fontId="74" fillId="18" borderId="5" xfId="4" applyFont="1" applyFill="1" applyBorder="1" applyAlignment="1">
      <alignment horizontal="center" vertical="center"/>
      <protection locked="0"/>
    </xf>
    <xf numFmtId="3" fontId="4" fillId="0" borderId="2" xfId="7" applyNumberFormat="1" applyFont="1" applyBorder="1" applyAlignment="1">
      <alignment horizontal="center" vertical="center" wrapText="1"/>
    </xf>
    <xf numFmtId="3" fontId="66" fillId="0" borderId="2" xfId="0" applyNumberFormat="1" applyFont="1" applyBorder="1" applyAlignment="1">
      <alignment vertical="center"/>
    </xf>
    <xf numFmtId="3" fontId="66" fillId="3" borderId="2" xfId="0" applyNumberFormat="1" applyFont="1" applyFill="1" applyBorder="1" applyAlignment="1">
      <alignment vertical="center"/>
    </xf>
    <xf numFmtId="0" fontId="0" fillId="0" borderId="0" xfId="0" applyFont="1" applyAlignment="1">
      <alignment vertical="center"/>
    </xf>
    <xf numFmtId="3" fontId="74" fillId="0" borderId="2" xfId="0" applyNumberFormat="1" applyFont="1" applyBorder="1"/>
    <xf numFmtId="3" fontId="0" fillId="0" borderId="2" xfId="0" applyNumberFormat="1" applyFont="1" applyBorder="1"/>
    <xf numFmtId="3" fontId="45" fillId="0" borderId="20" xfId="0" applyNumberFormat="1" applyFont="1" applyBorder="1" applyAlignment="1">
      <alignment vertical="center"/>
    </xf>
    <xf numFmtId="3" fontId="47" fillId="0" borderId="33" xfId="0" applyNumberFormat="1" applyFont="1" applyBorder="1" applyAlignment="1">
      <alignment vertical="center"/>
    </xf>
    <xf numFmtId="3" fontId="52" fillId="0" borderId="33" xfId="0" applyNumberFormat="1" applyFont="1" applyFill="1" applyBorder="1" applyAlignment="1">
      <alignment vertical="center"/>
    </xf>
    <xf numFmtId="3" fontId="45" fillId="0" borderId="33" xfId="0" applyNumberFormat="1" applyFont="1" applyFill="1" applyBorder="1" applyAlignment="1">
      <alignment vertical="center"/>
    </xf>
    <xf numFmtId="3" fontId="57" fillId="0" borderId="2" xfId="0" applyNumberFormat="1" applyFont="1" applyBorder="1" applyAlignment="1">
      <alignment horizontal="center" vertical="center" wrapText="1"/>
    </xf>
    <xf numFmtId="3" fontId="57" fillId="0" borderId="14" xfId="0" applyNumberFormat="1" applyFont="1" applyBorder="1" applyAlignment="1">
      <alignment horizontal="center" vertical="center" wrapText="1"/>
    </xf>
    <xf numFmtId="3" fontId="57" fillId="18" borderId="2" xfId="0" applyNumberFormat="1" applyFont="1" applyFill="1" applyBorder="1" applyAlignment="1">
      <alignment horizontal="center" vertical="center" wrapText="1"/>
    </xf>
    <xf numFmtId="3" fontId="57" fillId="0" borderId="7" xfId="0" applyNumberFormat="1" applyFont="1" applyBorder="1" applyAlignment="1">
      <alignment horizontal="center" vertical="center" wrapText="1"/>
    </xf>
    <xf numFmtId="3" fontId="57" fillId="0" borderId="8" xfId="0" applyNumberFormat="1" applyFont="1" applyBorder="1" applyAlignment="1">
      <alignment horizontal="center" vertical="center" wrapText="1"/>
    </xf>
    <xf numFmtId="3" fontId="0" fillId="0" borderId="5" xfId="0" applyNumberFormat="1" applyBorder="1" applyAlignment="1">
      <alignment wrapText="1"/>
    </xf>
    <xf numFmtId="3" fontId="0" fillId="0" borderId="2" xfId="0" applyNumberFormat="1" applyBorder="1" applyAlignment="1">
      <alignment wrapText="1"/>
    </xf>
    <xf numFmtId="3" fontId="0" fillId="0" borderId="2" xfId="0" applyNumberFormat="1" applyFill="1" applyBorder="1" applyAlignment="1">
      <alignment wrapText="1"/>
    </xf>
    <xf numFmtId="167" fontId="0" fillId="0" borderId="2" xfId="2" applyNumberFormat="1" applyFont="1" applyBorder="1" applyAlignment="1">
      <alignment wrapText="1"/>
    </xf>
    <xf numFmtId="0" fontId="4" fillId="0" borderId="0" xfId="0" applyFont="1" applyFill="1"/>
    <xf numFmtId="0" fontId="0" fillId="0" borderId="0" xfId="0" applyFont="1" applyFill="1"/>
    <xf numFmtId="0" fontId="4" fillId="0" borderId="0" xfId="6" applyFont="1" applyFill="1">
      <alignment vertical="center"/>
    </xf>
    <xf numFmtId="0" fontId="4" fillId="0" borderId="0" xfId="0" applyFont="1" applyFill="1" applyAlignment="1">
      <alignment vertical="center"/>
    </xf>
    <xf numFmtId="3" fontId="4" fillId="4" borderId="2" xfId="0" applyNumberFormat="1" applyFont="1" applyFill="1" applyBorder="1"/>
    <xf numFmtId="3" fontId="77" fillId="0" borderId="58" xfId="8" applyNumberFormat="1" applyFont="1" applyBorder="1" applyAlignment="1">
      <alignment wrapText="1"/>
    </xf>
    <xf numFmtId="3" fontId="77" fillId="13" borderId="59" xfId="8" applyNumberFormat="1" applyFont="1" applyFill="1" applyBorder="1" applyAlignment="1">
      <alignment wrapText="1"/>
    </xf>
    <xf numFmtId="3" fontId="77" fillId="0" borderId="61" xfId="8" applyNumberFormat="1" applyFont="1" applyBorder="1" applyAlignment="1">
      <alignment wrapText="1"/>
    </xf>
    <xf numFmtId="3" fontId="77" fillId="0" borderId="62" xfId="8" applyNumberFormat="1" applyFont="1" applyBorder="1" applyAlignment="1">
      <alignment wrapText="1"/>
    </xf>
    <xf numFmtId="3" fontId="77" fillId="0" borderId="63" xfId="8" applyNumberFormat="1" applyFont="1" applyBorder="1" applyAlignment="1">
      <alignment wrapText="1"/>
    </xf>
    <xf numFmtId="0" fontId="0" fillId="0" borderId="0" xfId="0" applyFont="1" applyFill="1" applyAlignment="1">
      <alignment vertical="top"/>
    </xf>
    <xf numFmtId="3" fontId="77" fillId="9" borderId="59" xfId="8" applyNumberFormat="1" applyFont="1" applyFill="1" applyBorder="1" applyAlignment="1">
      <alignment wrapText="1"/>
    </xf>
    <xf numFmtId="3" fontId="77" fillId="9" borderId="60" xfId="8" applyNumberFormat="1" applyFont="1" applyFill="1" applyBorder="1" applyAlignment="1">
      <alignment wrapText="1"/>
    </xf>
    <xf numFmtId="3" fontId="77" fillId="0" borderId="59" xfId="8" applyNumberFormat="1" applyFont="1" applyBorder="1" applyAlignment="1">
      <alignment wrapText="1"/>
    </xf>
    <xf numFmtId="3" fontId="77" fillId="0" borderId="60" xfId="8" applyNumberFormat="1" applyFont="1" applyBorder="1" applyAlignment="1">
      <alignment wrapText="1"/>
    </xf>
    <xf numFmtId="3" fontId="77" fillId="0" borderId="64" xfId="8" applyNumberFormat="1" applyFont="1" applyBorder="1" applyAlignment="1">
      <alignment wrapText="1"/>
    </xf>
    <xf numFmtId="3" fontId="77" fillId="0" borderId="65" xfId="8" applyNumberFormat="1" applyFont="1" applyBorder="1" applyAlignment="1">
      <alignment wrapText="1"/>
    </xf>
    <xf numFmtId="3" fontId="4" fillId="0" borderId="0" xfId="0" applyNumberFormat="1" applyFont="1"/>
    <xf numFmtId="0" fontId="4" fillId="0" borderId="0" xfId="10" applyFont="1" applyFill="1" applyBorder="1" applyAlignment="1">
      <alignment horizontal="left" vertical="center"/>
    </xf>
    <xf numFmtId="0" fontId="4" fillId="0" borderId="0" xfId="10" applyFont="1" applyFill="1" applyBorder="1" applyAlignment="1">
      <alignment vertical="top"/>
    </xf>
    <xf numFmtId="0" fontId="4" fillId="0" borderId="2" xfId="0" applyFont="1" applyBorder="1" applyAlignment="1">
      <alignment horizontal="center" vertical="center" wrapText="1"/>
    </xf>
    <xf numFmtId="0" fontId="0" fillId="0" borderId="2" xfId="0" applyBorder="1" applyAlignment="1">
      <alignment horizontal="center" vertical="center" wrapText="1"/>
    </xf>
    <xf numFmtId="0" fontId="8" fillId="7" borderId="2" xfId="0" applyFont="1" applyFill="1" applyBorder="1" applyAlignment="1">
      <alignment horizontal="center" vertical="center" wrapText="1"/>
    </xf>
    <xf numFmtId="0" fontId="8" fillId="0" borderId="0" xfId="0" applyFont="1" applyFill="1"/>
    <xf numFmtId="0" fontId="8"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xf>
    <xf numFmtId="0" fontId="0" fillId="0" borderId="0" xfId="0" applyFont="1" applyFill="1" applyAlignment="1">
      <alignment horizontal="left" vertical="center"/>
    </xf>
    <xf numFmtId="3" fontId="8" fillId="0" borderId="2" xfId="1" applyNumberFormat="1" applyFont="1" applyFill="1" applyBorder="1" applyAlignment="1">
      <alignment horizontal="right" vertical="center"/>
    </xf>
    <xf numFmtId="167" fontId="8" fillId="0" borderId="2" xfId="0" applyNumberFormat="1" applyFont="1" applyFill="1" applyBorder="1" applyAlignment="1">
      <alignment horizontal="center" vertical="center" wrapText="1"/>
    </xf>
    <xf numFmtId="0" fontId="0" fillId="15" borderId="21" xfId="0" applyFill="1" applyBorder="1" applyAlignment="1">
      <alignment horizontal="center" vertical="center" wrapText="1"/>
    </xf>
    <xf numFmtId="0" fontId="0" fillId="15" borderId="22" xfId="0" applyFill="1" applyBorder="1" applyAlignment="1">
      <alignment vertical="center" wrapText="1"/>
    </xf>
    <xf numFmtId="165" fontId="11" fillId="15" borderId="31" xfId="1" applyNumberFormat="1" applyFont="1" applyFill="1" applyBorder="1" applyAlignment="1">
      <alignment horizontal="center" vertical="center"/>
    </xf>
    <xf numFmtId="165" fontId="11" fillId="15" borderId="22" xfId="1" applyNumberFormat="1" applyFont="1" applyFill="1" applyBorder="1" applyAlignment="1">
      <alignment horizontal="center" vertical="center"/>
    </xf>
    <xf numFmtId="165" fontId="0" fillId="16" borderId="33" xfId="1" applyNumberFormat="1" applyFont="1" applyFill="1" applyBorder="1" applyAlignment="1">
      <alignment horizontal="center" vertical="center" wrapText="1"/>
    </xf>
    <xf numFmtId="165" fontId="11" fillId="0" borderId="33" xfId="1" applyNumberFormat="1" applyFont="1" applyBorder="1" applyAlignment="1">
      <alignment horizontal="center" vertical="center"/>
    </xf>
    <xf numFmtId="0" fontId="11" fillId="15" borderId="32" xfId="0" applyFont="1" applyFill="1" applyBorder="1" applyAlignment="1">
      <alignment horizontal="center" vertical="center" wrapText="1"/>
    </xf>
    <xf numFmtId="165" fontId="11" fillId="15" borderId="21" xfId="1" quotePrefix="1" applyNumberFormat="1" applyFont="1" applyFill="1" applyBorder="1" applyAlignment="1">
      <alignment vertical="center" wrapText="1"/>
    </xf>
    <xf numFmtId="0" fontId="0" fillId="9" borderId="32" xfId="0" applyFill="1" applyBorder="1" applyAlignment="1">
      <alignment horizontal="center" vertical="center" wrapText="1"/>
    </xf>
    <xf numFmtId="165" fontId="0" fillId="0" borderId="32" xfId="1" applyNumberFormat="1" applyFont="1" applyBorder="1" applyAlignment="1">
      <alignment horizontal="center" vertical="center" wrapText="1"/>
    </xf>
    <xf numFmtId="169" fontId="8" fillId="0" borderId="2" xfId="1" applyNumberFormat="1" applyFont="1" applyBorder="1" applyAlignment="1">
      <alignment horizontal="center" vertical="center" wrapText="1"/>
    </xf>
    <xf numFmtId="167" fontId="8" fillId="0" borderId="2" xfId="2"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9" fontId="4" fillId="0" borderId="2" xfId="2" applyFont="1" applyFill="1" applyBorder="1" applyAlignment="1">
      <alignment horizontal="center" vertical="center" wrapText="1"/>
    </xf>
    <xf numFmtId="0" fontId="4" fillId="0" borderId="0" xfId="0" applyFont="1" applyFill="1" applyAlignment="1">
      <alignment horizontal="left"/>
    </xf>
    <xf numFmtId="0" fontId="0" fillId="0" borderId="0" xfId="0" applyBorder="1" applyAlignment="1">
      <alignment horizontal="center"/>
    </xf>
    <xf numFmtId="0" fontId="3" fillId="0" borderId="0" xfId="3" applyFont="1" applyFill="1" applyBorder="1" applyAlignment="1">
      <alignment horizontal="left" vertical="center" indent="3"/>
    </xf>
    <xf numFmtId="3" fontId="7" fillId="0" borderId="0" xfId="0" applyNumberFormat="1" applyFont="1"/>
    <xf numFmtId="9" fontId="3" fillId="0" borderId="2" xfId="2" applyFont="1" applyFill="1" applyBorder="1" applyAlignment="1" applyProtection="1">
      <alignment horizontal="center" vertical="center" wrapText="1"/>
      <protection locked="0"/>
    </xf>
    <xf numFmtId="167" fontId="3" fillId="0" borderId="2" xfId="2" applyNumberFormat="1" applyFont="1" applyFill="1" applyBorder="1" applyAlignment="1" applyProtection="1">
      <alignment horizontal="center" vertical="center" wrapText="1"/>
      <protection locked="0"/>
    </xf>
    <xf numFmtId="3" fontId="7" fillId="0" borderId="66" xfId="0" applyNumberFormat="1" applyFont="1" applyBorder="1"/>
    <xf numFmtId="49" fontId="46" fillId="7" borderId="0" xfId="0" applyNumberFormat="1" applyFont="1" applyFill="1" applyBorder="1" applyAlignment="1">
      <alignment horizontal="left" vertical="center"/>
    </xf>
    <xf numFmtId="0" fontId="81" fillId="0" borderId="0" xfId="13" applyFill="1"/>
    <xf numFmtId="0" fontId="8" fillId="0" borderId="0" xfId="0" applyFont="1" applyBorder="1" applyAlignment="1">
      <alignment vertical="center"/>
    </xf>
    <xf numFmtId="0" fontId="81" fillId="0" borderId="0" xfId="13" applyFill="1" applyAlignment="1">
      <alignment vertical="center"/>
    </xf>
    <xf numFmtId="0" fontId="81" fillId="0" borderId="0" xfId="13" applyFill="1" applyAlignment="1">
      <alignment horizontal="left" vertical="center"/>
    </xf>
    <xf numFmtId="0" fontId="81" fillId="0" borderId="0" xfId="13" applyFill="1" applyAlignment="1">
      <alignment horizontal="left"/>
    </xf>
    <xf numFmtId="0" fontId="81" fillId="0" borderId="0" xfId="13" applyFill="1" applyBorder="1" applyAlignment="1">
      <alignment horizontal="left" vertical="center"/>
    </xf>
    <xf numFmtId="0" fontId="8" fillId="0" borderId="2" xfId="0" applyFont="1" applyFill="1" applyBorder="1" applyAlignment="1">
      <alignment vertical="center" wrapText="1"/>
    </xf>
    <xf numFmtId="9" fontId="8" fillId="0" borderId="2" xfId="0" applyNumberFormat="1" applyFont="1" applyFill="1" applyBorder="1" applyAlignment="1">
      <alignment horizontal="center" vertical="center" wrapText="1"/>
    </xf>
    <xf numFmtId="14" fontId="0" fillId="0" borderId="2" xfId="0" applyNumberFormat="1" applyFill="1" applyBorder="1" applyAlignment="1">
      <alignment horizontal="center" vertical="center" wrapText="1"/>
    </xf>
    <xf numFmtId="170" fontId="0" fillId="0" borderId="0" xfId="0" applyNumberFormat="1"/>
    <xf numFmtId="164" fontId="11" fillId="0" borderId="0" xfId="1" applyFont="1"/>
    <xf numFmtId="165" fontId="0" fillId="0" borderId="0" xfId="1" applyNumberFormat="1" applyFont="1"/>
    <xf numFmtId="164" fontId="0" fillId="0" borderId="0" xfId="0" applyNumberFormat="1"/>
    <xf numFmtId="3" fontId="3" fillId="0" borderId="2" xfId="0" applyNumberFormat="1" applyFont="1" applyFill="1" applyBorder="1" applyAlignment="1">
      <alignment vertical="center"/>
    </xf>
    <xf numFmtId="167" fontId="3" fillId="0" borderId="2" xfId="2" applyNumberFormat="1" applyFont="1" applyFill="1" applyBorder="1" applyAlignment="1">
      <alignment vertical="center"/>
    </xf>
    <xf numFmtId="164" fontId="4" fillId="0" borderId="2" xfId="1" applyFont="1" applyFill="1" applyBorder="1" applyAlignment="1" applyProtection="1">
      <alignment vertical="center"/>
      <protection locked="0"/>
    </xf>
    <xf numFmtId="164" fontId="4" fillId="0" borderId="2" xfId="1" applyFont="1" applyFill="1" applyBorder="1" applyAlignment="1" applyProtection="1">
      <alignment horizontal="center" vertical="center"/>
      <protection locked="0"/>
    </xf>
    <xf numFmtId="0" fontId="4" fillId="0" borderId="2" xfId="0" applyFont="1" applyBorder="1" applyAlignment="1">
      <alignment horizontal="center" vertical="center" wrapText="1"/>
    </xf>
    <xf numFmtId="165" fontId="0" fillId="0" borderId="20" xfId="1" applyNumberFormat="1" applyFont="1" applyFill="1" applyBorder="1" applyAlignment="1">
      <alignment vertical="center" wrapText="1"/>
    </xf>
    <xf numFmtId="165" fontId="0" fillId="0" borderId="21" xfId="1" applyNumberFormat="1" applyFont="1" applyFill="1" applyBorder="1" applyAlignment="1">
      <alignment vertical="center" wrapText="1"/>
    </xf>
    <xf numFmtId="165" fontId="0" fillId="0" borderId="21" xfId="1" applyNumberFormat="1" applyFont="1" applyFill="1" applyBorder="1" applyAlignment="1">
      <alignment horizontal="center" vertical="center" wrapText="1"/>
    </xf>
    <xf numFmtId="165" fontId="0" fillId="0" borderId="34" xfId="1" applyNumberFormat="1" applyFont="1" applyFill="1" applyBorder="1" applyAlignment="1">
      <alignment horizontal="center" vertical="center" wrapText="1"/>
    </xf>
    <xf numFmtId="0" fontId="82" fillId="0" borderId="0" xfId="0" applyFont="1" applyAlignment="1">
      <alignment horizontal="left" vertical="center"/>
    </xf>
    <xf numFmtId="0" fontId="82" fillId="0" borderId="0" xfId="0" applyFont="1"/>
    <xf numFmtId="3" fontId="0" fillId="0" borderId="5" xfId="0" applyNumberFormat="1" applyFill="1" applyBorder="1" applyAlignment="1">
      <alignment wrapText="1"/>
    </xf>
    <xf numFmtId="3" fontId="77" fillId="0" borderId="59" xfId="8" applyNumberFormat="1" applyFont="1" applyFill="1" applyBorder="1" applyAlignment="1">
      <alignment wrapText="1"/>
    </xf>
    <xf numFmtId="3" fontId="77" fillId="0" borderId="64" xfId="8" applyNumberFormat="1" applyFont="1" applyFill="1" applyBorder="1" applyAlignment="1">
      <alignment wrapText="1"/>
    </xf>
    <xf numFmtId="3" fontId="4" fillId="0" borderId="2" xfId="0" applyNumberFormat="1" applyFont="1" applyFill="1" applyBorder="1"/>
    <xf numFmtId="3" fontId="0" fillId="0" borderId="2" xfId="0" applyNumberFormat="1" applyFill="1" applyBorder="1"/>
    <xf numFmtId="14" fontId="4" fillId="0" borderId="2" xfId="0" applyNumberFormat="1" applyFont="1" applyBorder="1" applyAlignment="1">
      <alignment horizontal="center" vertical="center"/>
    </xf>
    <xf numFmtId="167" fontId="0" fillId="0" borderId="2" xfId="2" quotePrefix="1" applyNumberFormat="1" applyFont="1" applyBorder="1"/>
    <xf numFmtId="3" fontId="4" fillId="5" borderId="6" xfId="0" quotePrefix="1" applyNumberFormat="1" applyFont="1" applyFill="1" applyBorder="1"/>
    <xf numFmtId="3" fontId="4" fillId="5" borderId="5" xfId="0" quotePrefix="1" applyNumberFormat="1" applyFont="1" applyFill="1" applyBorder="1"/>
    <xf numFmtId="0" fontId="4" fillId="0" borderId="2" xfId="0" applyFont="1" applyFill="1" applyBorder="1" applyAlignment="1">
      <alignment vertical="center" wrapText="1"/>
    </xf>
    <xf numFmtId="0" fontId="4" fillId="0" borderId="7" xfId="0" applyFont="1" applyFill="1" applyBorder="1" applyAlignment="1">
      <alignment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9" fillId="3" borderId="7"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5"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5" xfId="0" applyFont="1" applyFill="1" applyBorder="1" applyAlignment="1">
      <alignment horizontal="left" vertical="center" wrapText="1"/>
    </xf>
    <xf numFmtId="0" fontId="23" fillId="0" borderId="0" xfId="0" applyFont="1" applyAlignment="1">
      <alignment horizontal="justify" vertical="center" wrapText="1"/>
    </xf>
    <xf numFmtId="0" fontId="22" fillId="0" borderId="0" xfId="0" applyFont="1" applyAlignment="1">
      <alignment horizontal="justify" vertical="center" wrapText="1"/>
    </xf>
    <xf numFmtId="0" fontId="20" fillId="0" borderId="0" xfId="0" applyFont="1" applyAlignment="1">
      <alignment horizontal="justify" vertical="center" wrapText="1"/>
    </xf>
    <xf numFmtId="0" fontId="0" fillId="7" borderId="2" xfId="0" applyFill="1" applyBorder="1" applyAlignment="1">
      <alignment horizontal="center" vertical="center" wrapText="1"/>
    </xf>
    <xf numFmtId="0" fontId="0" fillId="0" borderId="2" xfId="0" applyBorder="1" applyAlignment="1">
      <alignment horizontal="center" vertical="center" wrapText="1"/>
    </xf>
    <xf numFmtId="0" fontId="11" fillId="0" borderId="0" xfId="0" applyFont="1" applyAlignment="1">
      <alignment horizontal="justify" vertical="center" wrapText="1"/>
    </xf>
    <xf numFmtId="0" fontId="0" fillId="0" borderId="0" xfId="0" applyAlignment="1">
      <alignment horizontal="justify" vertical="center" wrapText="1"/>
    </xf>
    <xf numFmtId="0" fontId="21" fillId="0" borderId="0" xfId="0" applyFont="1" applyAlignment="1">
      <alignment horizontal="justify"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28" fillId="4" borderId="7"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5" xfId="0" applyFont="1" applyFill="1" applyBorder="1" applyAlignment="1">
      <alignment horizontal="center" vertical="center"/>
    </xf>
    <xf numFmtId="0" fontId="31" fillId="4" borderId="7" xfId="0" applyFont="1" applyFill="1" applyBorder="1" applyAlignment="1">
      <alignment horizontal="center" vertical="center"/>
    </xf>
    <xf numFmtId="0" fontId="31" fillId="4" borderId="6" xfId="0" applyFont="1" applyFill="1" applyBorder="1" applyAlignment="1">
      <alignment horizontal="center" vertical="center"/>
    </xf>
    <xf numFmtId="0" fontId="31" fillId="4" borderId="5"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11" fillId="13" borderId="7"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1" fillId="13" borderId="7" xfId="0" applyFont="1" applyFill="1" applyBorder="1" applyAlignment="1">
      <alignment horizontal="center"/>
    </xf>
    <xf numFmtId="0" fontId="11" fillId="13" borderId="6" xfId="0" applyFont="1" applyFill="1" applyBorder="1" applyAlignment="1">
      <alignment horizontal="center"/>
    </xf>
    <xf numFmtId="0" fontId="11" fillId="13" borderId="5" xfId="0" applyFont="1" applyFill="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5" fillId="13" borderId="7" xfId="0" applyFont="1" applyFill="1" applyBorder="1" applyAlignment="1">
      <alignment horizontal="center"/>
    </xf>
    <xf numFmtId="0" fontId="5" fillId="13" borderId="6" xfId="0" applyFont="1" applyFill="1" applyBorder="1" applyAlignment="1">
      <alignment horizontal="center"/>
    </xf>
    <xf numFmtId="0" fontId="5" fillId="13" borderId="5" xfId="0" applyFont="1" applyFill="1" applyBorder="1" applyAlignment="1">
      <alignment horizontal="center"/>
    </xf>
    <xf numFmtId="0" fontId="34" fillId="0" borderId="0" xfId="0" applyFont="1" applyAlignment="1">
      <alignment horizontal="center" vertical="center" wrapText="1"/>
    </xf>
    <xf numFmtId="164" fontId="0" fillId="4" borderId="7" xfId="1" applyFont="1" applyFill="1" applyBorder="1" applyAlignment="1">
      <alignment horizontal="left"/>
    </xf>
    <xf numFmtId="164" fontId="0" fillId="4" borderId="6" xfId="1" applyFont="1" applyFill="1" applyBorder="1" applyAlignment="1">
      <alignment horizontal="left"/>
    </xf>
    <xf numFmtId="164" fontId="0" fillId="4" borderId="5" xfId="1" applyFont="1" applyFill="1" applyBorder="1" applyAlignment="1">
      <alignment horizontal="left"/>
    </xf>
    <xf numFmtId="164" fontId="8" fillId="4" borderId="17" xfId="1" applyFont="1" applyFill="1" applyBorder="1" applyAlignment="1">
      <alignment horizontal="center" vertical="center"/>
    </xf>
    <xf numFmtId="165" fontId="8" fillId="7" borderId="2" xfId="1" applyNumberFormat="1" applyFont="1" applyFill="1" applyBorder="1" applyAlignment="1">
      <alignment horizontal="center" vertical="center" wrapText="1"/>
    </xf>
    <xf numFmtId="164" fontId="35" fillId="7" borderId="2" xfId="1" applyFont="1" applyFill="1" applyBorder="1" applyAlignment="1">
      <alignment vertical="center" wrapText="1"/>
    </xf>
    <xf numFmtId="164" fontId="8" fillId="7" borderId="2" xfId="1" applyFont="1" applyFill="1" applyBorder="1" applyAlignment="1">
      <alignment vertical="center" wrapText="1"/>
    </xf>
    <xf numFmtId="164" fontId="0" fillId="4" borderId="17" xfId="1" applyFont="1" applyFill="1" applyBorder="1" applyAlignment="1">
      <alignment vertical="center" wrapText="1"/>
    </xf>
    <xf numFmtId="164" fontId="8" fillId="14" borderId="2" xfId="1" applyFont="1" applyFill="1" applyBorder="1" applyAlignment="1">
      <alignment vertical="center" wrapText="1"/>
    </xf>
    <xf numFmtId="0" fontId="8" fillId="7" borderId="2"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5" xfId="0" applyFont="1" applyFill="1" applyBorder="1" applyAlignment="1">
      <alignment horizontal="center" vertical="center" wrapText="1"/>
    </xf>
    <xf numFmtId="164" fontId="8" fillId="14" borderId="7" xfId="1" applyFont="1" applyFill="1" applyBorder="1" applyAlignment="1">
      <alignment horizontal="left" vertical="center" wrapText="1"/>
    </xf>
    <xf numFmtId="164" fontId="8" fillId="14" borderId="6" xfId="1" applyFont="1" applyFill="1" applyBorder="1" applyAlignment="1">
      <alignment horizontal="left" vertical="center" wrapText="1"/>
    </xf>
    <xf numFmtId="164" fontId="8" fillId="14" borderId="5" xfId="1" applyFont="1" applyFill="1" applyBorder="1" applyAlignment="1">
      <alignment horizontal="left" vertical="center" wrapText="1"/>
    </xf>
    <xf numFmtId="165" fontId="0" fillId="0" borderId="20" xfId="1" applyNumberFormat="1" applyFont="1" applyBorder="1" applyAlignment="1">
      <alignment horizontal="center" vertical="center" wrapText="1"/>
    </xf>
    <xf numFmtId="165" fontId="0" fillId="0" borderId="26" xfId="1" applyNumberFormat="1" applyFont="1" applyBorder="1" applyAlignment="1">
      <alignment horizontal="center" vertical="center" wrapText="1"/>
    </xf>
    <xf numFmtId="165" fontId="0" fillId="0" borderId="22" xfId="1" applyNumberFormat="1" applyFont="1" applyBorder="1" applyAlignment="1">
      <alignment horizontal="center" vertical="center" wrapText="1"/>
    </xf>
    <xf numFmtId="0" fontId="15" fillId="0" borderId="18" xfId="0" applyFont="1" applyBorder="1" applyAlignment="1">
      <alignment vertical="center"/>
    </xf>
    <xf numFmtId="0" fontId="15" fillId="0" borderId="19"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28" xfId="0" applyFont="1" applyBorder="1" applyAlignment="1">
      <alignment vertical="center"/>
    </xf>
    <xf numFmtId="0" fontId="15" fillId="0" borderId="16" xfId="0" applyFont="1" applyBorder="1" applyAlignment="1">
      <alignmen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1" fillId="13" borderId="20" xfId="0" applyFont="1" applyFill="1" applyBorder="1" applyAlignment="1">
      <alignment horizontal="left" vertical="center"/>
    </xf>
    <xf numFmtId="0" fontId="11" fillId="13" borderId="26" xfId="0" applyFont="1" applyFill="1" applyBorder="1" applyAlignment="1">
      <alignment horizontal="left" vertical="center"/>
    </xf>
    <xf numFmtId="0" fontId="11" fillId="13" borderId="22" xfId="0" applyFont="1" applyFill="1" applyBorder="1" applyAlignment="1">
      <alignment horizontal="left" vertical="center"/>
    </xf>
    <xf numFmtId="0" fontId="45" fillId="0" borderId="20"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42" xfId="0" applyFont="1" applyBorder="1" applyAlignment="1">
      <alignment horizontal="center" vertical="center" wrapText="1"/>
    </xf>
    <xf numFmtId="0" fontId="0" fillId="0" borderId="2" xfId="0" applyBorder="1" applyAlignment="1">
      <alignment horizontal="center"/>
    </xf>
    <xf numFmtId="0" fontId="39" fillId="0" borderId="0" xfId="0" applyFont="1" applyAlignment="1">
      <alignment vertical="center" wrapText="1"/>
    </xf>
    <xf numFmtId="0" fontId="39" fillId="0" borderId="16" xfId="0" applyFont="1" applyBorder="1" applyAlignment="1">
      <alignment vertical="center" wrapText="1"/>
    </xf>
    <xf numFmtId="0" fontId="45" fillId="9" borderId="43" xfId="0" applyFont="1" applyFill="1" applyBorder="1" applyAlignment="1">
      <alignment horizontal="center" vertical="center" wrapText="1"/>
    </xf>
    <xf numFmtId="0" fontId="45" fillId="0" borderId="43" xfId="0" applyFont="1" applyBorder="1" applyAlignment="1">
      <alignment horizontal="center" vertical="center" wrapText="1"/>
    </xf>
    <xf numFmtId="0" fontId="45" fillId="0" borderId="32"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2" xfId="0" applyFont="1" applyBorder="1" applyAlignment="1">
      <alignment horizontal="center" vertical="center" wrapText="1"/>
    </xf>
    <xf numFmtId="0" fontId="45" fillId="0" borderId="25" xfId="0" applyFont="1" applyBorder="1" applyAlignment="1">
      <alignment horizontal="center" vertical="center" wrapText="1"/>
    </xf>
    <xf numFmtId="0" fontId="45" fillId="9" borderId="42" xfId="0" applyFont="1" applyFill="1" applyBorder="1" applyAlignment="1">
      <alignment horizontal="center" vertical="center" wrapText="1"/>
    </xf>
    <xf numFmtId="0" fontId="39" fillId="0" borderId="35" xfId="0" applyFont="1" applyBorder="1"/>
    <xf numFmtId="0" fontId="45" fillId="0" borderId="16" xfId="0" applyFont="1" applyBorder="1" applyAlignment="1">
      <alignment horizontal="center" vertical="center" wrapText="1"/>
    </xf>
    <xf numFmtId="0" fontId="45" fillId="0" borderId="45" xfId="0" applyFont="1" applyBorder="1" applyAlignment="1">
      <alignment horizontal="center" vertical="center" wrapText="1"/>
    </xf>
    <xf numFmtId="0" fontId="39" fillId="9" borderId="43" xfId="0" applyFont="1" applyFill="1" applyBorder="1" applyAlignment="1">
      <alignment vertical="center" wrapText="1"/>
    </xf>
    <xf numFmtId="0" fontId="39" fillId="9" borderId="32" xfId="0" applyFont="1" applyFill="1" applyBorder="1" applyAlignment="1">
      <alignment vertical="center" wrapText="1"/>
    </xf>
    <xf numFmtId="0" fontId="39" fillId="9" borderId="42" xfId="0" applyFont="1" applyFill="1" applyBorder="1" applyAlignment="1">
      <alignment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11" fillId="0" borderId="6" xfId="0" applyFont="1" applyBorder="1" applyAlignment="1">
      <alignment horizontal="center" vertical="center" wrapText="1"/>
    </xf>
    <xf numFmtId="9" fontId="5" fillId="0" borderId="2"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0" borderId="2" xfId="7" applyFont="1" applyBorder="1" applyAlignment="1">
      <alignment horizontal="center" vertical="center" wrapText="1"/>
    </xf>
    <xf numFmtId="0" fontId="4" fillId="0" borderId="2" xfId="0" applyFont="1" applyBorder="1" applyAlignment="1">
      <alignment horizontal="left"/>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left" vertical="center" wrapText="1"/>
    </xf>
    <xf numFmtId="0" fontId="75" fillId="4" borderId="46" xfId="8" applyFont="1" applyFill="1" applyBorder="1" applyAlignment="1">
      <alignment horizontal="center" vertical="center"/>
    </xf>
    <xf numFmtId="0" fontId="75" fillId="4" borderId="47" xfId="8" applyFont="1" applyFill="1" applyBorder="1" applyAlignment="1">
      <alignment horizontal="center" vertical="center"/>
    </xf>
    <xf numFmtId="0" fontId="75" fillId="4" borderId="48" xfId="8" applyFont="1" applyFill="1" applyBorder="1" applyAlignment="1">
      <alignment horizontal="center" vertical="center"/>
    </xf>
    <xf numFmtId="0" fontId="75" fillId="4" borderId="49" xfId="8" applyFont="1" applyFill="1" applyBorder="1" applyAlignment="1">
      <alignment horizontal="center" vertical="center"/>
    </xf>
    <xf numFmtId="0" fontId="75" fillId="4" borderId="50" xfId="8" applyFont="1" applyFill="1" applyBorder="1" applyAlignment="1">
      <alignment horizontal="center" vertical="center"/>
    </xf>
    <xf numFmtId="0" fontId="75" fillId="4" borderId="51" xfId="8" applyFont="1" applyFill="1" applyBorder="1" applyAlignment="1">
      <alignment horizontal="center" vertical="center"/>
    </xf>
    <xf numFmtId="0" fontId="5" fillId="0" borderId="8" xfId="3" applyFont="1" applyBorder="1" applyAlignment="1">
      <alignment horizontal="center" vertical="center" wrapText="1"/>
    </xf>
    <xf numFmtId="0" fontId="5" fillId="0" borderId="10"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10" xfId="3" applyFont="1" applyBorder="1" applyAlignment="1">
      <alignment horizontal="center" vertical="center" wrapText="1"/>
    </xf>
    <xf numFmtId="3" fontId="0" fillId="7" borderId="2" xfId="1" applyNumberFormat="1" applyFont="1" applyFill="1" applyBorder="1" applyAlignment="1">
      <alignment vertical="center" wrapText="1"/>
    </xf>
    <xf numFmtId="3" fontId="0" fillId="0" borderId="2" xfId="1" applyNumberFormat="1" applyFont="1" applyFill="1" applyBorder="1" applyAlignment="1">
      <alignment vertical="center" wrapText="1"/>
    </xf>
    <xf numFmtId="3" fontId="41" fillId="4" borderId="17" xfId="1" applyNumberFormat="1" applyFont="1" applyFill="1" applyBorder="1" applyAlignment="1">
      <alignment vertical="center" wrapText="1"/>
    </xf>
    <xf numFmtId="3" fontId="41" fillId="7" borderId="2" xfId="1" applyNumberFormat="1" applyFont="1" applyFill="1" applyBorder="1" applyAlignment="1">
      <alignment vertical="center" wrapText="1"/>
    </xf>
    <xf numFmtId="3" fontId="0" fillId="4" borderId="17" xfId="1" applyNumberFormat="1" applyFont="1" applyFill="1" applyBorder="1" applyAlignment="1">
      <alignment vertical="center" wrapText="1"/>
    </xf>
    <xf numFmtId="3" fontId="0" fillId="7" borderId="2" xfId="1" applyNumberFormat="1" applyFont="1" applyFill="1" applyBorder="1" applyAlignment="1">
      <alignment vertical="center" wrapText="1"/>
    </xf>
  </cellXfs>
  <cellStyles count="14">
    <cellStyle name="=C:\WINNT35\SYSTEM32\COMMAND.COM" xfId="3" xr:uid="{7EE43DBD-C994-4978-8136-5CC71E76AAEA}"/>
    <cellStyle name="Heading 1 2" xfId="11" xr:uid="{D70688AF-73B3-461D-BDB7-A3F0CB20F1B5}"/>
    <cellStyle name="Heading 2 2" xfId="10" xr:uid="{08BA04DD-C08C-4D1E-AD98-758A3E3734A9}"/>
    <cellStyle name="HeadingTable" xfId="12" xr:uid="{8DC57B0C-1EF8-4289-B6CD-326892B03DDB}"/>
    <cellStyle name="Komma" xfId="1" builtinId="3"/>
    <cellStyle name="Link" xfId="13" builtinId="8"/>
    <cellStyle name="Normal" xfId="0" builtinId="0"/>
    <cellStyle name="Normal 2" xfId="5" xr:uid="{05CDFA4E-9AFF-4326-8A2B-853277B73167}"/>
    <cellStyle name="Normal 2 2" xfId="6" xr:uid="{C977C303-C250-492B-9D1A-70FF16683187}"/>
    <cellStyle name="Normal 4" xfId="8" xr:uid="{4AEE2369-6546-47B1-A12A-AE44EC408885}"/>
    <cellStyle name="Normal_20 OPR" xfId="7" xr:uid="{976E627A-138D-49E5-B59D-95AB7F649899}"/>
    <cellStyle name="optionalExposure" xfId="4" xr:uid="{5F9351B9-0C5A-4615-BE61-820869865928}"/>
    <cellStyle name="Procent" xfId="2" builtinId="5"/>
    <cellStyle name="Standard 3" xfId="9" xr:uid="{942C69CF-3308-4FD4-8615-813D2F4DC7EC}"/>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13</xdr:row>
      <xdr:rowOff>152400</xdr:rowOff>
    </xdr:from>
    <xdr:to>
      <xdr:col>11</xdr:col>
      <xdr:colOff>30957</xdr:colOff>
      <xdr:row>26</xdr:row>
      <xdr:rowOff>19050</xdr:rowOff>
    </xdr:to>
    <xdr:sp macro="" textlink="">
      <xdr:nvSpPr>
        <xdr:cNvPr id="2" name="AutoShape 1">
          <a:extLst>
            <a:ext uri="{FF2B5EF4-FFF2-40B4-BE49-F238E27FC236}">
              <a16:creationId xmlns:a16="http://schemas.microsoft.com/office/drawing/2014/main" id="{AC7BCD55-317E-4107-A0AE-9C823DFEDC86}"/>
            </a:ext>
          </a:extLst>
        </xdr:cNvPr>
        <xdr:cNvSpPr>
          <a:spLocks noChangeAspect="1" noChangeArrowheads="1"/>
        </xdr:cNvSpPr>
      </xdr:nvSpPr>
      <xdr:spPr bwMode="auto">
        <a:xfrm>
          <a:off x="3914775" y="3752850"/>
          <a:ext cx="921305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0261-C73B-4BD9-A20C-2EBF3892DC80}">
  <sheetPr>
    <tabColor theme="0" tint="-0.14999847407452621"/>
  </sheetPr>
  <dimension ref="A2:B21"/>
  <sheetViews>
    <sheetView tabSelected="1" workbookViewId="0">
      <selection activeCell="B30" sqref="B30"/>
    </sheetView>
  </sheetViews>
  <sheetFormatPr defaultRowHeight="15" x14ac:dyDescent="0.25"/>
  <cols>
    <col min="1" max="1" width="34.5703125" customWidth="1"/>
  </cols>
  <sheetData>
    <row r="2" spans="1:2" ht="26.25" x14ac:dyDescent="0.4">
      <c r="A2" s="29" t="s">
        <v>912</v>
      </c>
    </row>
    <row r="5" spans="1:2" x14ac:dyDescent="0.25">
      <c r="A5" t="s">
        <v>898</v>
      </c>
      <c r="B5" t="s">
        <v>914</v>
      </c>
    </row>
    <row r="6" spans="1:2" x14ac:dyDescent="0.25">
      <c r="A6" t="s">
        <v>901</v>
      </c>
      <c r="B6" t="s">
        <v>899</v>
      </c>
    </row>
    <row r="7" spans="1:2" x14ac:dyDescent="0.25">
      <c r="A7" t="s">
        <v>900</v>
      </c>
      <c r="B7" t="s">
        <v>902</v>
      </c>
    </row>
    <row r="8" spans="1:2" x14ac:dyDescent="0.25">
      <c r="A8" t="s">
        <v>903</v>
      </c>
      <c r="B8" t="s">
        <v>906</v>
      </c>
    </row>
    <row r="9" spans="1:2" x14ac:dyDescent="0.25">
      <c r="A9" t="s">
        <v>904</v>
      </c>
      <c r="B9" t="s">
        <v>905</v>
      </c>
    </row>
    <row r="13" spans="1:2" x14ac:dyDescent="0.25">
      <c r="A13" s="26" t="s">
        <v>907</v>
      </c>
    </row>
    <row r="14" spans="1:2" x14ac:dyDescent="0.25">
      <c r="A14" t="s">
        <v>916</v>
      </c>
    </row>
    <row r="15" spans="1:2" x14ac:dyDescent="0.25">
      <c r="A15" t="s">
        <v>908</v>
      </c>
    </row>
    <row r="16" spans="1:2" x14ac:dyDescent="0.25">
      <c r="A16" t="s">
        <v>909</v>
      </c>
    </row>
    <row r="19" spans="1:1" x14ac:dyDescent="0.25">
      <c r="A19" t="s">
        <v>915</v>
      </c>
    </row>
    <row r="20" spans="1:1" x14ac:dyDescent="0.25">
      <c r="A20" t="s">
        <v>910</v>
      </c>
    </row>
    <row r="21" spans="1:1" x14ac:dyDescent="0.25">
      <c r="A21" t="s">
        <v>911</v>
      </c>
    </row>
  </sheetData>
  <sheetProtection algorithmName="SHA-512" hashValue="BKCfJx+7xyX5Klcmzvk4jbjCC7EBKC8g6OepInPyH+AvaHxnf60NmTYTG9rZuuZP/9Inf4SsQuw88LK0RQ0phw==" saltValue="42WyuX6wk+mUAiTkQ0UoV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03758-037A-440D-9FD1-D366F43F5E8C}">
  <sheetPr>
    <tabColor theme="0" tint="-0.14999847407452621"/>
    <pageSetUpPr fitToPage="1"/>
  </sheetPr>
  <dimension ref="B1:D9"/>
  <sheetViews>
    <sheetView workbookViewId="0"/>
  </sheetViews>
  <sheetFormatPr defaultColWidth="9.140625" defaultRowHeight="15" x14ac:dyDescent="0.25"/>
  <cols>
    <col min="3" max="3" width="55.285156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ht="18.75" x14ac:dyDescent="0.3">
      <c r="C1" s="73"/>
    </row>
    <row r="3" spans="2:4" ht="18.75" x14ac:dyDescent="0.3">
      <c r="B3" s="73" t="s">
        <v>315</v>
      </c>
    </row>
    <row r="6" spans="2:4" x14ac:dyDescent="0.25">
      <c r="D6" s="41" t="s">
        <v>2</v>
      </c>
    </row>
    <row r="7" spans="2:4" x14ac:dyDescent="0.25">
      <c r="B7" s="108">
        <v>1</v>
      </c>
      <c r="C7" s="109" t="s">
        <v>91</v>
      </c>
      <c r="D7" s="110">
        <f>+'EU OV1'!D44</f>
        <v>2554800.787</v>
      </c>
    </row>
    <row r="8" spans="2:4" x14ac:dyDescent="0.25">
      <c r="B8" s="108">
        <v>2</v>
      </c>
      <c r="C8" s="109" t="s">
        <v>338</v>
      </c>
      <c r="D8" s="505">
        <v>0</v>
      </c>
    </row>
    <row r="9" spans="2:4" x14ac:dyDescent="0.25">
      <c r="B9" s="108">
        <v>3</v>
      </c>
      <c r="C9" s="109" t="s">
        <v>339</v>
      </c>
      <c r="D9" s="506">
        <v>0</v>
      </c>
    </row>
  </sheetData>
  <sheetProtection algorithmName="SHA-512" hashValue="zwCzME31vHDoIN3l5ji7Buslpw2MMaxxbDtHCssNpzkwkMQHl4foO6v/lrSFTan0mf3f7kruAYpPfwpIywnBkg==" saltValue="+eoJeL16LV7L9vVHQuXqtQ==" spinCount="100000" sheet="1" objects="1" scenarios="1"/>
  <conditionalFormatting sqref="D7:D9">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&amp;CDA
Bilag IX</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D083-F27B-4931-9E8F-19A03C0DBDCC}">
  <sheetPr>
    <tabColor theme="0" tint="-0.14999847407452621"/>
    <pageSetUpPr fitToPage="1"/>
  </sheetPr>
  <dimension ref="B2:G26"/>
  <sheetViews>
    <sheetView workbookViewId="0"/>
  </sheetViews>
  <sheetFormatPr defaultColWidth="9.140625" defaultRowHeight="15" x14ac:dyDescent="0.25"/>
  <cols>
    <col min="3" max="3" width="63.140625" customWidth="1"/>
    <col min="4" max="4" width="17.85546875" customWidth="1"/>
    <col min="6" max="6" width="14.42578125" bestFit="1" customWidth="1"/>
    <col min="7" max="7" width="13.28515625" bestFit="1" customWidth="1"/>
  </cols>
  <sheetData>
    <row r="2" spans="2:6" ht="18.75" customHeight="1" x14ac:dyDescent="0.3">
      <c r="B2" s="111" t="s">
        <v>341</v>
      </c>
      <c r="C2" s="112"/>
      <c r="D2" s="112"/>
    </row>
    <row r="3" spans="2:6" ht="15" customHeight="1" x14ac:dyDescent="0.25">
      <c r="B3" s="112"/>
      <c r="C3" s="112"/>
      <c r="D3" s="112"/>
    </row>
    <row r="5" spans="2:6" x14ac:dyDescent="0.25">
      <c r="B5" s="14"/>
      <c r="C5" s="14"/>
      <c r="D5" s="113" t="s">
        <v>2</v>
      </c>
    </row>
    <row r="6" spans="2:6" x14ac:dyDescent="0.25">
      <c r="B6" s="14"/>
      <c r="C6" s="14"/>
      <c r="D6" s="52" t="s">
        <v>344</v>
      </c>
    </row>
    <row r="7" spans="2:6" x14ac:dyDescent="0.25">
      <c r="B7" s="114">
        <v>1</v>
      </c>
      <c r="C7" s="19" t="s">
        <v>345</v>
      </c>
      <c r="D7" s="278">
        <v>5076485</v>
      </c>
      <c r="E7" s="67"/>
      <c r="F7" s="17"/>
    </row>
    <row r="8" spans="2:6" ht="45" x14ac:dyDescent="0.25">
      <c r="B8" s="12">
        <v>2</v>
      </c>
      <c r="C8" s="19" t="s">
        <v>346</v>
      </c>
      <c r="D8" s="279"/>
      <c r="E8" s="67"/>
      <c r="F8" s="17"/>
    </row>
    <row r="9" spans="2:6" ht="30" x14ac:dyDescent="0.25">
      <c r="B9" s="12">
        <v>3</v>
      </c>
      <c r="C9" s="19" t="s">
        <v>347</v>
      </c>
      <c r="D9" s="280"/>
    </row>
    <row r="10" spans="2:6" ht="30" x14ac:dyDescent="0.25">
      <c r="B10" s="12">
        <v>4</v>
      </c>
      <c r="C10" s="58" t="s">
        <v>348</v>
      </c>
      <c r="D10" s="280"/>
    </row>
    <row r="11" spans="2:6" ht="60" x14ac:dyDescent="0.25">
      <c r="B11" s="12">
        <v>5</v>
      </c>
      <c r="C11" s="5" t="s">
        <v>349</v>
      </c>
      <c r="D11" s="280"/>
    </row>
    <row r="12" spans="2:6" ht="30" x14ac:dyDescent="0.25">
      <c r="B12" s="12">
        <v>6</v>
      </c>
      <c r="C12" s="19" t="s">
        <v>350</v>
      </c>
      <c r="D12" s="281"/>
    </row>
    <row r="13" spans="2:6" x14ac:dyDescent="0.25">
      <c r="B13" s="12">
        <v>7</v>
      </c>
      <c r="C13" s="19" t="s">
        <v>351</v>
      </c>
      <c r="D13" s="282"/>
    </row>
    <row r="14" spans="2:6" x14ac:dyDescent="0.25">
      <c r="B14" s="12">
        <v>8</v>
      </c>
      <c r="C14" s="19" t="s">
        <v>352</v>
      </c>
      <c r="D14" s="283">
        <f>1237+3414-1053</f>
        <v>3598</v>
      </c>
    </row>
    <row r="15" spans="2:6" x14ac:dyDescent="0.25">
      <c r="B15" s="12">
        <v>9</v>
      </c>
      <c r="C15" s="19" t="s">
        <v>353</v>
      </c>
      <c r="D15" s="280"/>
    </row>
    <row r="16" spans="2:6" ht="30" x14ac:dyDescent="0.25">
      <c r="B16" s="12">
        <v>10</v>
      </c>
      <c r="C16" s="19" t="s">
        <v>354</v>
      </c>
      <c r="D16" s="283">
        <v>943750</v>
      </c>
      <c r="F16" s="500"/>
    </row>
    <row r="17" spans="2:7" ht="45" x14ac:dyDescent="0.25">
      <c r="B17" s="12">
        <v>11</v>
      </c>
      <c r="C17" s="5" t="s">
        <v>355</v>
      </c>
      <c r="D17" s="518">
        <v>-1521</v>
      </c>
    </row>
    <row r="18" spans="2:7" ht="30" x14ac:dyDescent="0.25">
      <c r="B18" s="12" t="s">
        <v>356</v>
      </c>
      <c r="C18" s="5" t="s">
        <v>357</v>
      </c>
      <c r="D18" s="284">
        <v>-768043</v>
      </c>
    </row>
    <row r="19" spans="2:7" ht="30" x14ac:dyDescent="0.25">
      <c r="B19" s="12" t="s">
        <v>358</v>
      </c>
      <c r="C19" s="5" t="s">
        <v>359</v>
      </c>
      <c r="D19" s="284"/>
    </row>
    <row r="20" spans="2:7" x14ac:dyDescent="0.25">
      <c r="B20" s="12">
        <v>12</v>
      </c>
      <c r="C20" s="19" t="s">
        <v>360</v>
      </c>
      <c r="D20" s="280">
        <f>-102882-238-66434</f>
        <v>-169554</v>
      </c>
    </row>
    <row r="21" spans="2:7" x14ac:dyDescent="0.25">
      <c r="B21" s="12">
        <v>13</v>
      </c>
      <c r="C21" s="88" t="s">
        <v>361</v>
      </c>
      <c r="D21" s="284">
        <f>SUM(D7:D20)</f>
        <v>5084715</v>
      </c>
      <c r="F21" s="500"/>
      <c r="G21" s="501"/>
    </row>
    <row r="22" spans="2:7" x14ac:dyDescent="0.25">
      <c r="F22" s="38"/>
      <c r="G22" s="69"/>
    </row>
    <row r="26" spans="2:7" x14ac:dyDescent="0.25">
      <c r="D26" s="267"/>
    </row>
  </sheetData>
  <sheetProtection algorithmName="SHA-512" hashValue="JvBmHYS6I783+7iOUBHU4s3fS3vVPRyY1jTcyF8XcuSF0ooJiUQY0trii9pZK/SMf5MAk2RumeVbbLu3gtHljA==" saltValue="gh5D8j/RHcRU0IYH//cb2w==" spinCount="100000" sheet="1" objects="1" scenarios="1"/>
  <pageMargins left="0.70866141732283472" right="0.70866141732283472" top="0.74803149606299213" bottom="0.74803149606299213" header="0.31496062992125984" footer="0.31496062992125984"/>
  <pageSetup paperSize="9" scale="96" orientation="portrait" r:id="rId1"/>
  <headerFooter>
    <oddHeader>&amp;CDA
Bilag XI</oddHeader>
    <oddFooter>&amp;C1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27959-C4D5-48B3-8DE6-ACBB1BC6FCF8}">
  <sheetPr>
    <tabColor theme="0" tint="-0.14999847407452621"/>
    <pageSetUpPr fitToPage="1"/>
  </sheetPr>
  <dimension ref="A2:M72"/>
  <sheetViews>
    <sheetView workbookViewId="0"/>
  </sheetViews>
  <sheetFormatPr defaultColWidth="9.140625" defaultRowHeight="43.5" customHeight="1" x14ac:dyDescent="0.25"/>
  <cols>
    <col min="2" max="2" width="8.5703125" style="64" customWidth="1"/>
    <col min="3" max="3" width="71.85546875" customWidth="1"/>
    <col min="4" max="5" width="21.7109375" customWidth="1"/>
  </cols>
  <sheetData>
    <row r="2" spans="1:5" ht="43.5" customHeight="1" x14ac:dyDescent="0.3">
      <c r="A2" s="119"/>
      <c r="B2" s="111" t="s">
        <v>342</v>
      </c>
    </row>
    <row r="4" spans="1:5" ht="30" x14ac:dyDescent="0.25">
      <c r="B4" s="483"/>
      <c r="C4" s="120"/>
      <c r="D4" s="295" t="s">
        <v>362</v>
      </c>
      <c r="E4" s="295"/>
    </row>
    <row r="5" spans="1:5" ht="43.5" customHeight="1" x14ac:dyDescent="0.25">
      <c r="B5" s="591"/>
      <c r="C5" s="592"/>
      <c r="D5" s="89" t="s">
        <v>2</v>
      </c>
      <c r="E5" s="89" t="s">
        <v>3</v>
      </c>
    </row>
    <row r="6" spans="1:5" ht="43.5" customHeight="1" x14ac:dyDescent="0.25">
      <c r="B6" s="593"/>
      <c r="C6" s="594"/>
      <c r="D6" s="519">
        <v>44926</v>
      </c>
      <c r="E6" s="519">
        <v>44561</v>
      </c>
    </row>
    <row r="7" spans="1:5" ht="15" x14ac:dyDescent="0.25">
      <c r="B7" s="588" t="s">
        <v>363</v>
      </c>
      <c r="C7" s="589"/>
      <c r="D7" s="589"/>
      <c r="E7" s="590"/>
    </row>
    <row r="8" spans="1:5" ht="15" x14ac:dyDescent="0.25">
      <c r="B8" s="89">
        <v>1</v>
      </c>
      <c r="C8" s="5" t="s">
        <v>364</v>
      </c>
      <c r="D8" s="285">
        <f>5076485-1053</f>
        <v>5075432</v>
      </c>
      <c r="E8" s="285">
        <v>4716942</v>
      </c>
    </row>
    <row r="9" spans="1:5" ht="30" x14ac:dyDescent="0.25">
      <c r="B9" s="55">
        <v>2</v>
      </c>
      <c r="C9" s="5" t="s">
        <v>365</v>
      </c>
      <c r="D9" s="285"/>
      <c r="E9" s="285"/>
    </row>
    <row r="10" spans="1:5" ht="30" x14ac:dyDescent="0.25">
      <c r="B10" s="55">
        <v>3</v>
      </c>
      <c r="C10" s="5" t="s">
        <v>366</v>
      </c>
      <c r="D10" s="285"/>
      <c r="E10" s="285"/>
    </row>
    <row r="11" spans="1:5" ht="30" x14ac:dyDescent="0.25">
      <c r="B11" s="55">
        <v>4</v>
      </c>
      <c r="C11" s="5" t="s">
        <v>367</v>
      </c>
      <c r="D11" s="285"/>
      <c r="E11" s="285"/>
    </row>
    <row r="12" spans="1:5" ht="15" x14ac:dyDescent="0.25">
      <c r="B12" s="55">
        <v>5</v>
      </c>
      <c r="C12" s="121" t="s">
        <v>368</v>
      </c>
      <c r="D12" s="287">
        <f>-72606+4651</f>
        <v>-67955</v>
      </c>
      <c r="E12" s="285"/>
    </row>
    <row r="13" spans="1:5" ht="15" x14ac:dyDescent="0.25">
      <c r="B13" s="89">
        <v>6</v>
      </c>
      <c r="C13" s="5" t="s">
        <v>369</v>
      </c>
      <c r="D13" s="285">
        <f>-238-102882</f>
        <v>-103120</v>
      </c>
      <c r="E13" s="285">
        <v>-93895</v>
      </c>
    </row>
    <row r="14" spans="1:5" ht="15" x14ac:dyDescent="0.25">
      <c r="B14" s="122">
        <v>7</v>
      </c>
      <c r="C14" s="123" t="s">
        <v>370</v>
      </c>
      <c r="D14" s="289">
        <f>SUM(D8:D13)</f>
        <v>4904357</v>
      </c>
      <c r="E14" s="289">
        <f>SUM(E8:E13)</f>
        <v>4623047</v>
      </c>
    </row>
    <row r="15" spans="1:5" ht="15" x14ac:dyDescent="0.25">
      <c r="B15" s="588" t="s">
        <v>371</v>
      </c>
      <c r="C15" s="589"/>
      <c r="D15" s="589"/>
      <c r="E15" s="590"/>
    </row>
    <row r="16" spans="1:5" ht="45" x14ac:dyDescent="0.25">
      <c r="B16" s="458">
        <v>8</v>
      </c>
      <c r="C16" s="125" t="s">
        <v>372</v>
      </c>
      <c r="D16" s="286">
        <v>1237</v>
      </c>
      <c r="E16" s="287">
        <v>5517</v>
      </c>
    </row>
    <row r="17" spans="2:5" ht="30" x14ac:dyDescent="0.25">
      <c r="B17" s="458" t="s">
        <v>373</v>
      </c>
      <c r="C17" s="126" t="s">
        <v>374</v>
      </c>
      <c r="D17" s="287"/>
      <c r="E17" s="287"/>
    </row>
    <row r="18" spans="2:5" ht="30" x14ac:dyDescent="0.25">
      <c r="B18" s="458">
        <v>9</v>
      </c>
      <c r="C18" s="5" t="s">
        <v>375</v>
      </c>
      <c r="D18" s="287">
        <v>3414</v>
      </c>
      <c r="E18" s="287">
        <v>2060</v>
      </c>
    </row>
    <row r="19" spans="2:5" ht="30" x14ac:dyDescent="0.25">
      <c r="B19" s="458" t="s">
        <v>312</v>
      </c>
      <c r="C19" s="127" t="s">
        <v>376</v>
      </c>
      <c r="D19" s="287"/>
      <c r="E19" s="287"/>
    </row>
    <row r="20" spans="2:5" ht="15" x14ac:dyDescent="0.25">
      <c r="B20" s="458" t="s">
        <v>313</v>
      </c>
      <c r="C20" s="127" t="s">
        <v>377</v>
      </c>
      <c r="D20" s="287"/>
      <c r="E20" s="287"/>
    </row>
    <row r="21" spans="2:5" ht="30" x14ac:dyDescent="0.25">
      <c r="B21" s="460">
        <v>10</v>
      </c>
      <c r="C21" s="87" t="s">
        <v>378</v>
      </c>
      <c r="D21" s="286"/>
      <c r="E21" s="287"/>
    </row>
    <row r="22" spans="2:5" ht="30" x14ac:dyDescent="0.25">
      <c r="B22" s="460" t="s">
        <v>379</v>
      </c>
      <c r="C22" s="6" t="s">
        <v>380</v>
      </c>
      <c r="D22" s="286"/>
      <c r="E22" s="287"/>
    </row>
    <row r="23" spans="2:5" ht="30" x14ac:dyDescent="0.25">
      <c r="B23" s="460" t="s">
        <v>381</v>
      </c>
      <c r="C23" s="128" t="s">
        <v>382</v>
      </c>
      <c r="D23" s="286"/>
      <c r="E23" s="287"/>
    </row>
    <row r="24" spans="2:5" ht="15" x14ac:dyDescent="0.25">
      <c r="B24" s="458">
        <v>11</v>
      </c>
      <c r="C24" s="5" t="s">
        <v>383</v>
      </c>
      <c r="D24" s="287"/>
      <c r="E24" s="287"/>
    </row>
    <row r="25" spans="2:5" ht="30" x14ac:dyDescent="0.25">
      <c r="B25" s="458">
        <v>12</v>
      </c>
      <c r="C25" s="5" t="s">
        <v>384</v>
      </c>
      <c r="D25" s="287"/>
      <c r="E25" s="287"/>
    </row>
    <row r="26" spans="2:5" ht="15" x14ac:dyDescent="0.25">
      <c r="B26" s="129">
        <v>13</v>
      </c>
      <c r="C26" s="130" t="s">
        <v>385</v>
      </c>
      <c r="D26" s="289">
        <f>SUM(D16:D25)</f>
        <v>4651</v>
      </c>
      <c r="E26" s="289">
        <f>SUM(E16:E25)</f>
        <v>7577</v>
      </c>
    </row>
    <row r="27" spans="2:5" ht="15" x14ac:dyDescent="0.25">
      <c r="B27" s="595" t="s">
        <v>386</v>
      </c>
      <c r="C27" s="596"/>
      <c r="D27" s="596"/>
      <c r="E27" s="597"/>
    </row>
    <row r="28" spans="2:5" ht="30" x14ac:dyDescent="0.25">
      <c r="B28" s="89">
        <v>14</v>
      </c>
      <c r="C28" s="5" t="s">
        <v>387</v>
      </c>
      <c r="D28" s="286"/>
      <c r="E28" s="287"/>
    </row>
    <row r="29" spans="2:5" ht="30" x14ac:dyDescent="0.25">
      <c r="B29" s="89">
        <v>15</v>
      </c>
      <c r="C29" s="5" t="s">
        <v>388</v>
      </c>
      <c r="D29" s="288"/>
      <c r="E29" s="287"/>
    </row>
    <row r="30" spans="2:5" ht="15" x14ac:dyDescent="0.25">
      <c r="B30" s="89">
        <v>16</v>
      </c>
      <c r="C30" s="5" t="s">
        <v>389</v>
      </c>
      <c r="D30" s="287"/>
      <c r="E30" s="287"/>
    </row>
    <row r="31" spans="2:5" ht="30" x14ac:dyDescent="0.25">
      <c r="B31" s="458" t="s">
        <v>390</v>
      </c>
      <c r="C31" s="5" t="s">
        <v>391</v>
      </c>
      <c r="D31" s="287"/>
      <c r="E31" s="287"/>
    </row>
    <row r="32" spans="2:5" ht="15" x14ac:dyDescent="0.25">
      <c r="B32" s="458">
        <v>17</v>
      </c>
      <c r="C32" s="5" t="s">
        <v>392</v>
      </c>
      <c r="D32" s="287"/>
      <c r="E32" s="287"/>
    </row>
    <row r="33" spans="2:5" ht="15" x14ac:dyDescent="0.25">
      <c r="B33" s="458" t="s">
        <v>393</v>
      </c>
      <c r="C33" s="5" t="s">
        <v>394</v>
      </c>
      <c r="D33" s="287"/>
      <c r="E33" s="287"/>
    </row>
    <row r="34" spans="2:5" ht="15" x14ac:dyDescent="0.25">
      <c r="B34" s="129">
        <v>18</v>
      </c>
      <c r="C34" s="130" t="s">
        <v>395</v>
      </c>
      <c r="D34" s="124"/>
      <c r="E34" s="124"/>
    </row>
    <row r="35" spans="2:5" ht="15" x14ac:dyDescent="0.25">
      <c r="B35" s="588" t="s">
        <v>396</v>
      </c>
      <c r="C35" s="589"/>
      <c r="D35" s="589"/>
      <c r="E35" s="590"/>
    </row>
    <row r="36" spans="2:5" ht="15" x14ac:dyDescent="0.25">
      <c r="B36" s="89">
        <v>19</v>
      </c>
      <c r="C36" s="5" t="s">
        <v>397</v>
      </c>
      <c r="D36" s="286">
        <f>832116+606490</f>
        <v>1438606</v>
      </c>
      <c r="E36" s="287">
        <v>1672773</v>
      </c>
    </row>
    <row r="37" spans="2:5" ht="15" x14ac:dyDescent="0.25">
      <c r="B37" s="89">
        <v>20</v>
      </c>
      <c r="C37" s="5" t="s">
        <v>398</v>
      </c>
      <c r="D37" s="286">
        <f>+D39-D36</f>
        <v>-494856</v>
      </c>
      <c r="E37" s="287">
        <v>-454785</v>
      </c>
    </row>
    <row r="38" spans="2:5" ht="30" x14ac:dyDescent="0.25">
      <c r="B38" s="89">
        <v>21</v>
      </c>
      <c r="C38" s="58" t="s">
        <v>399</v>
      </c>
      <c r="D38" s="287"/>
      <c r="E38" s="287"/>
    </row>
    <row r="39" spans="2:5" ht="15" x14ac:dyDescent="0.25">
      <c r="B39" s="129">
        <v>22</v>
      </c>
      <c r="C39" s="130" t="s">
        <v>400</v>
      </c>
      <c r="D39" s="289">
        <f>+'EU LR1 - LRSum'!D16</f>
        <v>943750</v>
      </c>
      <c r="E39" s="289">
        <f>SUM(E36:E38)</f>
        <v>1217988</v>
      </c>
    </row>
    <row r="40" spans="2:5" ht="15" x14ac:dyDescent="0.25">
      <c r="B40" s="582" t="s">
        <v>401</v>
      </c>
      <c r="C40" s="583"/>
      <c r="D40" s="583"/>
      <c r="E40" s="584"/>
    </row>
    <row r="41" spans="2:5" ht="30" x14ac:dyDescent="0.25">
      <c r="B41" s="458" t="s">
        <v>402</v>
      </c>
      <c r="C41" s="5" t="s">
        <v>403</v>
      </c>
      <c r="D41" s="287">
        <f>+'EU LR1 - LRSum'!D18</f>
        <v>-768043</v>
      </c>
      <c r="E41" s="287">
        <v>-875386</v>
      </c>
    </row>
    <row r="42" spans="2:5" ht="30" x14ac:dyDescent="0.25">
      <c r="B42" s="458" t="s">
        <v>404</v>
      </c>
      <c r="C42" s="5" t="s">
        <v>405</v>
      </c>
      <c r="D42" s="115"/>
      <c r="E42" s="287"/>
    </row>
    <row r="43" spans="2:5" ht="30" x14ac:dyDescent="0.25">
      <c r="B43" s="131" t="s">
        <v>406</v>
      </c>
      <c r="C43" s="126" t="s">
        <v>407</v>
      </c>
      <c r="D43" s="115"/>
      <c r="E43" s="287"/>
    </row>
    <row r="44" spans="2:5" ht="30" x14ac:dyDescent="0.25">
      <c r="B44" s="131" t="s">
        <v>408</v>
      </c>
      <c r="C44" s="126" t="s">
        <v>409</v>
      </c>
      <c r="D44" s="117"/>
      <c r="E44" s="287"/>
    </row>
    <row r="45" spans="2:5" ht="30" x14ac:dyDescent="0.25">
      <c r="B45" s="131" t="s">
        <v>410</v>
      </c>
      <c r="C45" s="132" t="s">
        <v>411</v>
      </c>
      <c r="D45" s="117"/>
      <c r="E45" s="287"/>
    </row>
    <row r="46" spans="2:5" ht="30" x14ac:dyDescent="0.25">
      <c r="B46" s="131" t="s">
        <v>412</v>
      </c>
      <c r="C46" s="126" t="s">
        <v>413</v>
      </c>
      <c r="D46" s="115"/>
      <c r="E46" s="287"/>
    </row>
    <row r="47" spans="2:5" ht="15" x14ac:dyDescent="0.25">
      <c r="B47" s="131" t="s">
        <v>414</v>
      </c>
      <c r="C47" s="126" t="s">
        <v>415</v>
      </c>
      <c r="D47" s="115"/>
      <c r="E47" s="287"/>
    </row>
    <row r="48" spans="2:5" ht="30" x14ac:dyDescent="0.25">
      <c r="B48" s="131" t="s">
        <v>416</v>
      </c>
      <c r="C48" s="126" t="s">
        <v>417</v>
      </c>
      <c r="D48" s="115"/>
      <c r="E48" s="287"/>
    </row>
    <row r="49" spans="2:7" ht="30" x14ac:dyDescent="0.25">
      <c r="B49" s="131" t="s">
        <v>418</v>
      </c>
      <c r="C49" s="126" t="s">
        <v>419</v>
      </c>
      <c r="D49" s="115"/>
      <c r="E49" s="287"/>
    </row>
    <row r="50" spans="2:7" ht="15" x14ac:dyDescent="0.25">
      <c r="B50" s="131" t="s">
        <v>420</v>
      </c>
      <c r="C50" s="126" t="s">
        <v>421</v>
      </c>
      <c r="D50" s="287"/>
      <c r="E50" s="287"/>
    </row>
    <row r="51" spans="2:7" ht="15" x14ac:dyDescent="0.25">
      <c r="B51" s="133" t="s">
        <v>422</v>
      </c>
      <c r="C51" s="134" t="s">
        <v>423</v>
      </c>
      <c r="D51" s="521">
        <f>SUM(D41:D50)</f>
        <v>-768043</v>
      </c>
      <c r="E51" s="522">
        <f>SUM(E41:E50)</f>
        <v>-875386</v>
      </c>
    </row>
    <row r="52" spans="2:7" ht="15" x14ac:dyDescent="0.25">
      <c r="B52" s="585" t="s">
        <v>424</v>
      </c>
      <c r="C52" s="586"/>
      <c r="D52" s="586"/>
      <c r="E52" s="587"/>
    </row>
    <row r="53" spans="2:7" ht="15" x14ac:dyDescent="0.25">
      <c r="B53" s="89">
        <v>23</v>
      </c>
      <c r="C53" s="135" t="s">
        <v>283</v>
      </c>
      <c r="D53" s="286">
        <v>508215</v>
      </c>
      <c r="E53" s="287">
        <v>505858</v>
      </c>
    </row>
    <row r="54" spans="2:7" ht="15" x14ac:dyDescent="0.25">
      <c r="B54" s="136">
        <v>24</v>
      </c>
      <c r="C54" s="137" t="s">
        <v>361</v>
      </c>
      <c r="D54" s="290">
        <f>+D14+D26+D39+D51</f>
        <v>5084715</v>
      </c>
      <c r="E54" s="290">
        <f>+E14+E26+E39+E51</f>
        <v>4973226</v>
      </c>
      <c r="G54" s="267"/>
    </row>
    <row r="55" spans="2:7" ht="15" x14ac:dyDescent="0.25">
      <c r="B55" s="585" t="s">
        <v>65</v>
      </c>
      <c r="C55" s="586"/>
      <c r="D55" s="586"/>
      <c r="E55" s="587"/>
      <c r="G55" s="267"/>
    </row>
    <row r="56" spans="2:7" ht="15" x14ac:dyDescent="0.25">
      <c r="B56" s="89">
        <v>25</v>
      </c>
      <c r="C56" s="14" t="s">
        <v>425</v>
      </c>
      <c r="D56" s="291">
        <f>+D53/D54</f>
        <v>9.9949554694805903E-2</v>
      </c>
      <c r="E56" s="291">
        <f>+E53/E54</f>
        <v>0.10171627028411739</v>
      </c>
    </row>
    <row r="57" spans="2:7" ht="30" x14ac:dyDescent="0.25">
      <c r="B57" s="458" t="s">
        <v>426</v>
      </c>
      <c r="C57" s="5" t="s">
        <v>427</v>
      </c>
      <c r="D57" s="292">
        <f>+D56</f>
        <v>9.9949554694805903E-2</v>
      </c>
      <c r="E57" s="292">
        <f>+E56</f>
        <v>0.10171627028411739</v>
      </c>
    </row>
    <row r="58" spans="2:7" ht="30" x14ac:dyDescent="0.25">
      <c r="B58" s="458" t="s">
        <v>428</v>
      </c>
      <c r="C58" s="58" t="s">
        <v>429</v>
      </c>
      <c r="D58" s="292">
        <f>+D57</f>
        <v>9.9949554694805903E-2</v>
      </c>
      <c r="E58" s="292">
        <f>+E57</f>
        <v>0.10171627028411739</v>
      </c>
    </row>
    <row r="59" spans="2:7" ht="15" x14ac:dyDescent="0.25">
      <c r="B59" s="458">
        <v>26</v>
      </c>
      <c r="C59" s="5" t="s">
        <v>430</v>
      </c>
      <c r="D59" s="293">
        <v>0.03</v>
      </c>
      <c r="E59" s="293">
        <f>+D59</f>
        <v>0.03</v>
      </c>
    </row>
    <row r="60" spans="2:7" ht="30" x14ac:dyDescent="0.25">
      <c r="B60" s="458" t="s">
        <v>431</v>
      </c>
      <c r="C60" s="5" t="s">
        <v>60</v>
      </c>
      <c r="D60" s="293">
        <v>0</v>
      </c>
      <c r="E60" s="293">
        <v>0</v>
      </c>
    </row>
    <row r="61" spans="2:7" ht="15" x14ac:dyDescent="0.25">
      <c r="B61" s="458" t="s">
        <v>432</v>
      </c>
      <c r="C61" s="5" t="s">
        <v>433</v>
      </c>
      <c r="D61" s="293">
        <v>0</v>
      </c>
      <c r="E61" s="293">
        <v>0</v>
      </c>
    </row>
    <row r="62" spans="2:7" ht="15" x14ac:dyDescent="0.25">
      <c r="B62" s="458">
        <v>27</v>
      </c>
      <c r="C62" s="58" t="s">
        <v>53</v>
      </c>
      <c r="D62" s="293">
        <v>0</v>
      </c>
      <c r="E62" s="293">
        <v>0</v>
      </c>
    </row>
    <row r="63" spans="2:7" ht="15" x14ac:dyDescent="0.25">
      <c r="B63" s="459" t="s">
        <v>434</v>
      </c>
      <c r="C63" s="58" t="s">
        <v>51</v>
      </c>
      <c r="D63" s="294">
        <f>+D59</f>
        <v>0.03</v>
      </c>
      <c r="E63" s="520">
        <v>0.03</v>
      </c>
    </row>
    <row r="64" spans="2:7" ht="15" x14ac:dyDescent="0.25">
      <c r="B64" s="582" t="s">
        <v>435</v>
      </c>
      <c r="C64" s="583"/>
      <c r="D64" s="583"/>
      <c r="E64" s="584"/>
    </row>
    <row r="65" spans="2:13" ht="15" x14ac:dyDescent="0.25">
      <c r="B65" s="459" t="s">
        <v>436</v>
      </c>
      <c r="C65" s="58" t="s">
        <v>437</v>
      </c>
      <c r="D65" s="116"/>
      <c r="E65" s="118"/>
      <c r="M65" s="26"/>
    </row>
    <row r="66" spans="2:13" ht="15" x14ac:dyDescent="0.25">
      <c r="B66" s="585" t="s">
        <v>438</v>
      </c>
      <c r="C66" s="586"/>
      <c r="D66" s="586"/>
      <c r="E66" s="587"/>
    </row>
    <row r="67" spans="2:13" ht="36" customHeight="1" x14ac:dyDescent="0.25">
      <c r="B67" s="458">
        <v>28</v>
      </c>
      <c r="C67" s="5" t="s">
        <v>439</v>
      </c>
      <c r="D67" s="117" t="s">
        <v>659</v>
      </c>
      <c r="E67" s="115"/>
      <c r="M67" s="67"/>
    </row>
    <row r="68" spans="2:13" ht="34.5" customHeight="1" x14ac:dyDescent="0.25">
      <c r="B68" s="458">
        <v>29</v>
      </c>
      <c r="C68" s="5" t="s">
        <v>440</v>
      </c>
      <c r="D68" s="117" t="s">
        <v>659</v>
      </c>
      <c r="E68" s="115"/>
      <c r="M68" s="67"/>
    </row>
    <row r="69" spans="2:13" ht="75" x14ac:dyDescent="0.25">
      <c r="B69" s="459">
        <v>30</v>
      </c>
      <c r="C69" s="58" t="s">
        <v>441</v>
      </c>
      <c r="D69" s="296">
        <f>+D54</f>
        <v>5084715</v>
      </c>
      <c r="E69" s="296">
        <f>+E54</f>
        <v>4973226</v>
      </c>
      <c r="M69" s="26"/>
    </row>
    <row r="70" spans="2:13" ht="75" x14ac:dyDescent="0.25">
      <c r="B70" s="459" t="s">
        <v>442</v>
      </c>
      <c r="C70" s="58" t="s">
        <v>443</v>
      </c>
      <c r="D70" s="296">
        <f>+D54</f>
        <v>5084715</v>
      </c>
      <c r="E70" s="296">
        <f>+E54</f>
        <v>4973226</v>
      </c>
      <c r="M70" s="26"/>
    </row>
    <row r="71" spans="2:13" ht="75" x14ac:dyDescent="0.25">
      <c r="B71" s="458">
        <v>31</v>
      </c>
      <c r="C71" s="5" t="s">
        <v>444</v>
      </c>
      <c r="D71" s="292">
        <f>+D56</f>
        <v>9.9949554694805903E-2</v>
      </c>
      <c r="E71" s="292">
        <f>+E56</f>
        <v>0.10171627028411739</v>
      </c>
      <c r="M71" s="67"/>
    </row>
    <row r="72" spans="2:13" ht="75" x14ac:dyDescent="0.25">
      <c r="B72" s="458" t="s">
        <v>445</v>
      </c>
      <c r="C72" s="5" t="s">
        <v>446</v>
      </c>
      <c r="D72" s="292">
        <f>+D71</f>
        <v>9.9949554694805903E-2</v>
      </c>
      <c r="E72" s="292">
        <f>+E71</f>
        <v>0.10171627028411739</v>
      </c>
      <c r="M72" s="67"/>
    </row>
  </sheetData>
  <mergeCells count="10">
    <mergeCell ref="B35:E35"/>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scale="85" fitToHeight="0" orientation="portrait" verticalDpi="1200" r:id="rId1"/>
  <headerFooter>
    <oddHeader>&amp;CDA 
Bilag XI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0E63B-511A-4E5F-8681-D9C73E2A2F79}">
  <sheetPr>
    <tabColor theme="0" tint="-0.14999847407452621"/>
    <pageSetUpPr fitToPage="1"/>
  </sheetPr>
  <dimension ref="B2:F17"/>
  <sheetViews>
    <sheetView workbookViewId="0"/>
  </sheetViews>
  <sheetFormatPr defaultColWidth="9.140625" defaultRowHeight="15" x14ac:dyDescent="0.25"/>
  <cols>
    <col min="3" max="3" width="51.42578125" customWidth="1"/>
    <col min="4" max="4" width="34.85546875" customWidth="1"/>
  </cols>
  <sheetData>
    <row r="2" spans="2:6" ht="18.75" customHeight="1" x14ac:dyDescent="0.25">
      <c r="B2" s="598" t="s">
        <v>343</v>
      </c>
      <c r="C2" s="598"/>
      <c r="D2" s="598"/>
    </row>
    <row r="3" spans="2:6" x14ac:dyDescent="0.25">
      <c r="B3" s="598"/>
      <c r="C3" s="598"/>
      <c r="D3" s="598"/>
    </row>
    <row r="4" spans="2:6" x14ac:dyDescent="0.25">
      <c r="D4" s="138" t="s">
        <v>2</v>
      </c>
    </row>
    <row r="5" spans="2:6" x14ac:dyDescent="0.25">
      <c r="B5" s="14"/>
      <c r="C5" s="14"/>
      <c r="D5" s="297" t="s">
        <v>362</v>
      </c>
    </row>
    <row r="6" spans="2:6" ht="30" x14ac:dyDescent="0.25">
      <c r="B6" s="139" t="s">
        <v>447</v>
      </c>
      <c r="C6" s="139" t="s">
        <v>448</v>
      </c>
      <c r="D6" s="296">
        <f>+'EU LR2 - LRCom'!D8+'EU LR2 - LRCom'!D51</f>
        <v>4307389</v>
      </c>
      <c r="F6" s="17"/>
    </row>
    <row r="7" spans="2:6" x14ac:dyDescent="0.25">
      <c r="B7" s="125" t="s">
        <v>449</v>
      </c>
      <c r="C7" s="140" t="s">
        <v>450</v>
      </c>
      <c r="D7" s="285">
        <v>1360497</v>
      </c>
    </row>
    <row r="8" spans="2:6" x14ac:dyDescent="0.25">
      <c r="B8" s="125" t="s">
        <v>451</v>
      </c>
      <c r="C8" s="140" t="s">
        <v>452</v>
      </c>
      <c r="D8" s="296">
        <f>SUM(D9:D17)</f>
        <v>2892183</v>
      </c>
    </row>
    <row r="9" spans="2:6" ht="30" x14ac:dyDescent="0.25">
      <c r="B9" s="125" t="s">
        <v>453</v>
      </c>
      <c r="C9" s="140" t="s">
        <v>454</v>
      </c>
      <c r="D9" s="285"/>
    </row>
    <row r="10" spans="2:6" ht="30" x14ac:dyDescent="0.25">
      <c r="B10" s="125" t="s">
        <v>455</v>
      </c>
      <c r="C10" s="140" t="s">
        <v>456</v>
      </c>
      <c r="D10" s="285">
        <v>903316</v>
      </c>
    </row>
    <row r="11" spans="2:6" ht="60" x14ac:dyDescent="0.25">
      <c r="B11" s="125" t="s">
        <v>457</v>
      </c>
      <c r="C11" s="141" t="s">
        <v>458</v>
      </c>
      <c r="D11" s="285">
        <v>989</v>
      </c>
    </row>
    <row r="12" spans="2:6" x14ac:dyDescent="0.25">
      <c r="B12" s="125" t="s">
        <v>459</v>
      </c>
      <c r="C12" s="140" t="s">
        <v>460</v>
      </c>
      <c r="D12" s="285">
        <v>35350</v>
      </c>
    </row>
    <row r="13" spans="2:6" x14ac:dyDescent="0.25">
      <c r="B13" s="125" t="s">
        <v>461</v>
      </c>
      <c r="C13" s="140" t="s">
        <v>462</v>
      </c>
      <c r="D13" s="285">
        <v>207975</v>
      </c>
    </row>
    <row r="14" spans="2:6" x14ac:dyDescent="0.25">
      <c r="B14" s="125" t="s">
        <v>463</v>
      </c>
      <c r="C14" s="140" t="s">
        <v>464</v>
      </c>
      <c r="D14" s="285">
        <v>1263606</v>
      </c>
    </row>
    <row r="15" spans="2:6" x14ac:dyDescent="0.25">
      <c r="B15" s="125" t="s">
        <v>465</v>
      </c>
      <c r="C15" s="141" t="s">
        <v>466</v>
      </c>
      <c r="D15" s="285">
        <v>247293</v>
      </c>
    </row>
    <row r="16" spans="2:6" x14ac:dyDescent="0.25">
      <c r="B16" s="125" t="s">
        <v>467</v>
      </c>
      <c r="C16" s="140" t="s">
        <v>468</v>
      </c>
      <c r="D16" s="285">
        <v>82136</v>
      </c>
    </row>
    <row r="17" spans="2:4" ht="45" x14ac:dyDescent="0.25">
      <c r="B17" s="125" t="s">
        <v>469</v>
      </c>
      <c r="C17" s="140" t="s">
        <v>470</v>
      </c>
      <c r="D17" s="285">
        <v>151518</v>
      </c>
    </row>
  </sheetData>
  <sheetProtection algorithmName="SHA-512" hashValue="G0SZAF7p8zbyj9oH8tLXxwg8ZyVWvVRWDy8gwzuXrE/+H+bX170EHr1ilMwtlsRRegQtgp94JltHuSU/Y2Rifg==" saltValue="YyFPEooQ4hXqM6RoRqqgXA==" spinCount="100000" sheet="1" objects="1" scenarios="1"/>
  <mergeCells count="1">
    <mergeCell ref="B2:D3"/>
  </mergeCells>
  <pageMargins left="0.70866141732283472" right="0.70866141732283472" top="0.74803149606299213" bottom="0.74803149606299213" header="0.31496062992125984" footer="0.31496062992125984"/>
  <pageSetup paperSize="9" scale="91" fitToHeight="0" orientation="portrait" verticalDpi="1200" r:id="rId1"/>
  <headerFooter>
    <oddHeader>&amp;CDA 
Bilag XI</oddHeader>
    <oddFooter>&amp;C1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EAC45-782C-41D7-A5EE-F62C58BD5458}">
  <sheetPr>
    <tabColor theme="0" tint="-0.14999847407452621"/>
    <pageSetUpPr fitToPage="1"/>
  </sheetPr>
  <dimension ref="A2:U49"/>
  <sheetViews>
    <sheetView workbookViewId="0"/>
  </sheetViews>
  <sheetFormatPr defaultColWidth="9.140625" defaultRowHeight="15" x14ac:dyDescent="0.25"/>
  <cols>
    <col min="1" max="1" width="6.42578125" customWidth="1"/>
    <col min="2" max="2" width="10.28515625" customWidth="1"/>
    <col min="3" max="3" width="26.5703125" customWidth="1"/>
    <col min="4" max="6" width="12.5703125" bestFit="1" customWidth="1"/>
    <col min="7" max="7" width="10.42578125" bestFit="1" customWidth="1"/>
    <col min="8" max="11" width="13.28515625" bestFit="1" customWidth="1"/>
    <col min="12" max="15" width="0" hidden="1" customWidth="1"/>
  </cols>
  <sheetData>
    <row r="2" spans="1:13" ht="18.75" x14ac:dyDescent="0.25">
      <c r="B2" s="142" t="s">
        <v>471</v>
      </c>
    </row>
    <row r="3" spans="1:13" ht="15.75" x14ac:dyDescent="0.25">
      <c r="A3" s="144"/>
    </row>
    <row r="4" spans="1:13" ht="30" x14ac:dyDescent="0.25">
      <c r="A4" s="144"/>
      <c r="C4" s="125" t="s">
        <v>913</v>
      </c>
    </row>
    <row r="5" spans="1:13" ht="15.75" x14ac:dyDescent="0.25">
      <c r="A5" s="144"/>
      <c r="C5" s="145"/>
    </row>
    <row r="6" spans="1:13" x14ac:dyDescent="0.25">
      <c r="B6" s="146"/>
      <c r="D6" s="46" t="s">
        <v>2</v>
      </c>
      <c r="E6" s="46" t="s">
        <v>3</v>
      </c>
      <c r="F6" s="46" t="s">
        <v>4</v>
      </c>
      <c r="G6" s="46" t="s">
        <v>100</v>
      </c>
      <c r="H6" s="46" t="s">
        <v>99</v>
      </c>
      <c r="I6" s="46" t="s">
        <v>115</v>
      </c>
      <c r="J6" s="46" t="s">
        <v>116</v>
      </c>
      <c r="K6" s="46" t="s">
        <v>145</v>
      </c>
      <c r="M6" s="189" t="s">
        <v>555</v>
      </c>
    </row>
    <row r="7" spans="1:13" x14ac:dyDescent="0.25">
      <c r="D7" s="608" t="s">
        <v>473</v>
      </c>
      <c r="E7" s="608"/>
      <c r="F7" s="608"/>
      <c r="G7" s="608"/>
      <c r="H7" s="609" t="s">
        <v>474</v>
      </c>
      <c r="I7" s="610"/>
      <c r="J7" s="610"/>
      <c r="K7" s="611"/>
    </row>
    <row r="8" spans="1:13" ht="30" x14ac:dyDescent="0.25">
      <c r="B8" s="14" t="s">
        <v>475</v>
      </c>
      <c r="C8" s="125" t="s">
        <v>476</v>
      </c>
      <c r="D8" s="34">
        <v>44926</v>
      </c>
      <c r="E8" s="34">
        <v>44834</v>
      </c>
      <c r="F8" s="34">
        <v>44742</v>
      </c>
      <c r="G8" s="34">
        <v>44651</v>
      </c>
      <c r="H8" s="34">
        <v>44926</v>
      </c>
      <c r="I8" s="34">
        <v>44834</v>
      </c>
      <c r="J8" s="34">
        <v>44742</v>
      </c>
      <c r="K8" s="34">
        <v>44651</v>
      </c>
    </row>
    <row r="9" spans="1:13" ht="45" x14ac:dyDescent="0.25">
      <c r="B9" s="178" t="s">
        <v>477</v>
      </c>
      <c r="C9" s="179" t="s">
        <v>478</v>
      </c>
      <c r="D9" s="180"/>
      <c r="E9" s="180"/>
      <c r="F9" s="180"/>
      <c r="G9" s="180"/>
      <c r="H9" s="180"/>
      <c r="I9" s="180"/>
      <c r="J9" s="180"/>
      <c r="K9" s="180"/>
    </row>
    <row r="10" spans="1:13" ht="15" customHeight="1" x14ac:dyDescent="0.25">
      <c r="B10" s="612" t="s">
        <v>479</v>
      </c>
      <c r="C10" s="613"/>
      <c r="D10" s="613"/>
      <c r="E10" s="613"/>
      <c r="F10" s="613"/>
      <c r="G10" s="613"/>
      <c r="H10" s="613"/>
      <c r="I10" s="613"/>
      <c r="J10" s="613"/>
      <c r="K10" s="614"/>
    </row>
    <row r="11" spans="1:13" ht="30" x14ac:dyDescent="0.25">
      <c r="B11" s="186">
        <v>1</v>
      </c>
      <c r="C11" s="179" t="s">
        <v>480</v>
      </c>
      <c r="D11" s="606"/>
      <c r="E11" s="606"/>
      <c r="F11" s="606"/>
      <c r="G11" s="606"/>
      <c r="H11" s="694">
        <v>2192561</v>
      </c>
      <c r="I11" s="694">
        <v>2027423</v>
      </c>
      <c r="J11" s="694">
        <v>1885266</v>
      </c>
      <c r="K11" s="694">
        <v>1721298</v>
      </c>
    </row>
    <row r="12" spans="1:13" ht="15" customHeight="1" x14ac:dyDescent="0.25">
      <c r="B12" s="612" t="s">
        <v>481</v>
      </c>
      <c r="C12" s="613"/>
      <c r="D12" s="613"/>
      <c r="E12" s="613"/>
      <c r="F12" s="613"/>
      <c r="G12" s="613"/>
      <c r="H12" s="613"/>
      <c r="I12" s="613"/>
      <c r="J12" s="613"/>
      <c r="K12" s="614"/>
    </row>
    <row r="13" spans="1:13" ht="45" x14ac:dyDescent="0.25">
      <c r="B13" s="186">
        <v>2</v>
      </c>
      <c r="C13" s="179" t="s">
        <v>482</v>
      </c>
      <c r="D13" s="694">
        <v>3836904</v>
      </c>
      <c r="E13" s="694">
        <v>3747241</v>
      </c>
      <c r="F13" s="694">
        <v>3706506</v>
      </c>
      <c r="G13" s="694">
        <v>3571937</v>
      </c>
      <c r="H13" s="694">
        <v>235616</v>
      </c>
      <c r="I13" s="694">
        <v>235301</v>
      </c>
      <c r="J13" s="694">
        <v>229856</v>
      </c>
      <c r="K13" s="694">
        <v>217190</v>
      </c>
      <c r="M13" s="190">
        <v>30</v>
      </c>
    </row>
    <row r="14" spans="1:13" x14ac:dyDescent="0.25">
      <c r="B14" s="186">
        <v>3</v>
      </c>
      <c r="C14" s="181" t="s">
        <v>483</v>
      </c>
      <c r="D14" s="694">
        <v>3084069</v>
      </c>
      <c r="E14" s="694">
        <v>2969248</v>
      </c>
      <c r="F14" s="694">
        <v>2971148</v>
      </c>
      <c r="G14" s="694">
        <v>2914048</v>
      </c>
      <c r="H14" s="694">
        <v>154203</v>
      </c>
      <c r="I14" s="694">
        <v>148462</v>
      </c>
      <c r="J14" s="694">
        <v>148557</v>
      </c>
      <c r="K14" s="694">
        <v>145702</v>
      </c>
      <c r="M14" s="190">
        <v>80</v>
      </c>
    </row>
    <row r="15" spans="1:13" x14ac:dyDescent="0.25">
      <c r="B15" s="186">
        <v>4</v>
      </c>
      <c r="C15" s="181" t="s">
        <v>484</v>
      </c>
      <c r="D15" s="694">
        <v>173694</v>
      </c>
      <c r="E15" s="694">
        <v>218211</v>
      </c>
      <c r="F15" s="694">
        <v>192491</v>
      </c>
      <c r="G15" s="694">
        <v>150235</v>
      </c>
      <c r="H15" s="694">
        <v>26054</v>
      </c>
      <c r="I15" s="694">
        <v>32732</v>
      </c>
      <c r="J15" s="694">
        <v>28874</v>
      </c>
      <c r="K15" s="694">
        <v>22574</v>
      </c>
      <c r="M15" s="190">
        <v>50</v>
      </c>
    </row>
    <row r="16" spans="1:13" x14ac:dyDescent="0.25">
      <c r="B16" s="186">
        <v>5</v>
      </c>
      <c r="C16" s="179" t="s">
        <v>485</v>
      </c>
      <c r="D16" s="695"/>
      <c r="E16" s="695"/>
      <c r="F16" s="695"/>
      <c r="G16" s="695"/>
      <c r="H16" s="695"/>
      <c r="I16" s="695"/>
      <c r="J16" s="695"/>
      <c r="K16" s="695"/>
      <c r="M16" s="191">
        <v>110</v>
      </c>
    </row>
    <row r="17" spans="2:21" ht="60" x14ac:dyDescent="0.25">
      <c r="B17" s="186">
        <v>6</v>
      </c>
      <c r="C17" s="181" t="s">
        <v>486</v>
      </c>
      <c r="D17" s="694"/>
      <c r="E17" s="694"/>
      <c r="F17" s="694"/>
      <c r="G17" s="694"/>
      <c r="H17" s="694"/>
      <c r="I17" s="694"/>
      <c r="J17" s="694"/>
      <c r="K17" s="694"/>
    </row>
    <row r="18" spans="2:21" ht="30" x14ac:dyDescent="0.25">
      <c r="B18" s="186">
        <v>7</v>
      </c>
      <c r="C18" s="181" t="s">
        <v>487</v>
      </c>
      <c r="D18" s="694">
        <v>395972</v>
      </c>
      <c r="E18" s="694">
        <v>397710</v>
      </c>
      <c r="F18" s="694">
        <v>308474</v>
      </c>
      <c r="G18" s="694">
        <v>269944</v>
      </c>
      <c r="H18" s="694">
        <v>206593</v>
      </c>
      <c r="I18" s="694">
        <v>205406</v>
      </c>
      <c r="J18" s="694">
        <v>184862</v>
      </c>
      <c r="K18" s="694">
        <v>179939</v>
      </c>
      <c r="M18" s="190">
        <v>210</v>
      </c>
    </row>
    <row r="19" spans="2:21" x14ac:dyDescent="0.25">
      <c r="B19" s="186">
        <v>8</v>
      </c>
      <c r="C19" s="181" t="s">
        <v>488</v>
      </c>
      <c r="D19" s="694"/>
      <c r="E19" s="694"/>
      <c r="F19" s="694"/>
      <c r="G19" s="694"/>
      <c r="H19" s="694"/>
      <c r="I19" s="694"/>
      <c r="J19" s="694"/>
      <c r="K19" s="694"/>
    </row>
    <row r="20" spans="2:21" x14ac:dyDescent="0.25">
      <c r="B20" s="186">
        <v>9</v>
      </c>
      <c r="C20" s="181" t="s">
        <v>489</v>
      </c>
      <c r="D20" s="696"/>
      <c r="E20" s="696"/>
      <c r="F20" s="696"/>
      <c r="G20" s="696"/>
      <c r="H20" s="697"/>
      <c r="I20" s="697"/>
      <c r="J20" s="697"/>
      <c r="K20" s="697"/>
    </row>
    <row r="21" spans="2:21" x14ac:dyDescent="0.25">
      <c r="B21" s="186">
        <v>10</v>
      </c>
      <c r="C21" s="179" t="s">
        <v>490</v>
      </c>
      <c r="D21" s="694"/>
      <c r="E21" s="694"/>
      <c r="F21" s="694"/>
      <c r="G21" s="694"/>
      <c r="H21" s="694"/>
      <c r="I21" s="694"/>
      <c r="J21" s="694"/>
      <c r="K21" s="694"/>
    </row>
    <row r="22" spans="2:21" ht="75" x14ac:dyDescent="0.25">
      <c r="B22" s="186">
        <v>11</v>
      </c>
      <c r="C22" s="181" t="s">
        <v>491</v>
      </c>
      <c r="D22" s="694">
        <v>0</v>
      </c>
      <c r="E22" s="694">
        <v>0</v>
      </c>
      <c r="F22" s="694">
        <v>0</v>
      </c>
      <c r="G22" s="694">
        <v>0</v>
      </c>
      <c r="H22" s="694">
        <v>0</v>
      </c>
      <c r="I22" s="694">
        <v>0</v>
      </c>
      <c r="J22" s="694">
        <v>0</v>
      </c>
      <c r="K22" s="694">
        <v>0</v>
      </c>
      <c r="M22">
        <v>270</v>
      </c>
    </row>
    <row r="23" spans="2:21" ht="60" x14ac:dyDescent="0.25">
      <c r="B23" s="186">
        <v>12</v>
      </c>
      <c r="C23" s="181" t="s">
        <v>492</v>
      </c>
      <c r="D23" s="694"/>
      <c r="E23" s="694"/>
      <c r="F23" s="694"/>
      <c r="G23" s="694"/>
      <c r="H23" s="694"/>
      <c r="I23" s="694"/>
      <c r="J23" s="694"/>
      <c r="K23" s="694"/>
    </row>
    <row r="24" spans="2:21" ht="30" x14ac:dyDescent="0.25">
      <c r="B24" s="186">
        <v>13</v>
      </c>
      <c r="C24" s="181" t="s">
        <v>493</v>
      </c>
      <c r="D24" s="694">
        <f>16353+832161</f>
        <v>848514</v>
      </c>
      <c r="E24" s="694">
        <f>18527+1011946</f>
        <v>1030473</v>
      </c>
      <c r="F24" s="694">
        <f>20736+1149112</f>
        <v>1169848</v>
      </c>
      <c r="G24" s="694">
        <f>18955+1197128</f>
        <v>1216083</v>
      </c>
      <c r="H24" s="694">
        <f>924+41608</f>
        <v>42532</v>
      </c>
      <c r="I24" s="694">
        <f>1010+50597</f>
        <v>51607</v>
      </c>
      <c r="J24" s="694">
        <f>1131+57456-1</f>
        <v>58586</v>
      </c>
      <c r="K24" s="694">
        <f>1058+59856</f>
        <v>60914</v>
      </c>
      <c r="M24" s="190">
        <v>460</v>
      </c>
    </row>
    <row r="25" spans="2:21" ht="30" x14ac:dyDescent="0.25">
      <c r="B25" s="186">
        <v>14</v>
      </c>
      <c r="C25" s="179" t="s">
        <v>494</v>
      </c>
      <c r="D25" s="694">
        <v>4819</v>
      </c>
      <c r="E25" s="694">
        <v>8472</v>
      </c>
      <c r="F25" s="694">
        <v>26940</v>
      </c>
      <c r="G25" s="694">
        <v>11639</v>
      </c>
      <c r="H25" s="694">
        <f>4819+1</f>
        <v>4820</v>
      </c>
      <c r="I25" s="694">
        <f>8471+1</f>
        <v>8472</v>
      </c>
      <c r="J25" s="694">
        <v>26940</v>
      </c>
      <c r="K25" s="694">
        <v>11639</v>
      </c>
      <c r="M25" s="190">
        <v>885</v>
      </c>
    </row>
    <row r="26" spans="2:21" ht="45" x14ac:dyDescent="0.25">
      <c r="B26" s="186">
        <v>15</v>
      </c>
      <c r="C26" s="179" t="s">
        <v>495</v>
      </c>
      <c r="D26" s="694">
        <v>0</v>
      </c>
      <c r="E26" s="694">
        <v>0</v>
      </c>
      <c r="F26" s="694">
        <v>0</v>
      </c>
      <c r="G26" s="694">
        <v>0</v>
      </c>
      <c r="H26" s="694">
        <v>0</v>
      </c>
      <c r="I26" s="694">
        <v>0</v>
      </c>
      <c r="J26" s="694">
        <v>0</v>
      </c>
      <c r="K26" s="694">
        <v>0</v>
      </c>
      <c r="M26">
        <v>720</v>
      </c>
    </row>
    <row r="27" spans="2:21" ht="30" x14ac:dyDescent="0.25">
      <c r="B27" s="186">
        <v>16</v>
      </c>
      <c r="C27" s="179" t="s">
        <v>496</v>
      </c>
      <c r="D27" s="698"/>
      <c r="E27" s="698"/>
      <c r="F27" s="698"/>
      <c r="G27" s="698"/>
      <c r="H27" s="694">
        <v>489561</v>
      </c>
      <c r="I27" s="694">
        <v>500786</v>
      </c>
      <c r="J27" s="694">
        <v>500244</v>
      </c>
      <c r="K27" s="694">
        <v>469682</v>
      </c>
      <c r="R27" s="69"/>
      <c r="S27" s="69"/>
      <c r="T27" s="69"/>
      <c r="U27" s="69"/>
    </row>
    <row r="28" spans="2:21" x14ac:dyDescent="0.25">
      <c r="B28" s="607" t="s">
        <v>497</v>
      </c>
      <c r="C28" s="607"/>
      <c r="D28" s="607"/>
      <c r="E28" s="607"/>
      <c r="F28" s="607"/>
      <c r="G28" s="607"/>
      <c r="H28" s="607"/>
      <c r="I28" s="607"/>
      <c r="J28" s="607"/>
      <c r="K28" s="607"/>
    </row>
    <row r="29" spans="2:21" ht="30" x14ac:dyDescent="0.25">
      <c r="B29" s="186">
        <v>17</v>
      </c>
      <c r="C29" s="179" t="s">
        <v>498</v>
      </c>
      <c r="D29" s="180"/>
      <c r="E29" s="180"/>
      <c r="F29" s="180"/>
      <c r="G29" s="180"/>
      <c r="H29" s="180"/>
      <c r="I29" s="180"/>
      <c r="J29" s="180"/>
      <c r="K29" s="180"/>
    </row>
    <row r="30" spans="2:21" ht="45" x14ac:dyDescent="0.25">
      <c r="B30" s="186">
        <v>18</v>
      </c>
      <c r="C30" s="179" t="s">
        <v>499</v>
      </c>
      <c r="D30" s="695">
        <v>57080</v>
      </c>
      <c r="E30" s="695">
        <v>85810</v>
      </c>
      <c r="F30" s="695">
        <v>100527</v>
      </c>
      <c r="G30" s="695">
        <v>78677</v>
      </c>
      <c r="H30" s="695">
        <v>54008</v>
      </c>
      <c r="I30" s="695">
        <v>82351</v>
      </c>
      <c r="J30" s="695">
        <v>97100</v>
      </c>
      <c r="K30" s="695">
        <v>73390</v>
      </c>
      <c r="L30" s="17" t="s">
        <v>554</v>
      </c>
    </row>
    <row r="31" spans="2:21" ht="30" x14ac:dyDescent="0.25">
      <c r="B31" s="186">
        <v>19</v>
      </c>
      <c r="C31" s="179" t="s">
        <v>500</v>
      </c>
      <c r="D31" s="694"/>
      <c r="E31" s="694"/>
      <c r="F31" s="694"/>
      <c r="G31" s="694"/>
      <c r="H31" s="694"/>
      <c r="I31" s="694"/>
      <c r="J31" s="694"/>
      <c r="K31" s="694"/>
    </row>
    <row r="32" spans="2:21" x14ac:dyDescent="0.25">
      <c r="B32" s="603" t="s">
        <v>501</v>
      </c>
      <c r="C32" s="605" t="s">
        <v>502</v>
      </c>
      <c r="D32" s="698"/>
      <c r="E32" s="698"/>
      <c r="F32" s="698"/>
      <c r="G32" s="698"/>
      <c r="H32" s="699"/>
      <c r="I32" s="699"/>
      <c r="J32" s="699"/>
      <c r="K32" s="699"/>
    </row>
    <row r="33" spans="2:11" x14ac:dyDescent="0.25">
      <c r="B33" s="603"/>
      <c r="C33" s="605"/>
      <c r="D33" s="698"/>
      <c r="E33" s="698"/>
      <c r="F33" s="698"/>
      <c r="G33" s="698"/>
      <c r="H33" s="699"/>
      <c r="I33" s="699"/>
      <c r="J33" s="699"/>
      <c r="K33" s="699"/>
    </row>
    <row r="34" spans="2:11" x14ac:dyDescent="0.25">
      <c r="B34" s="603" t="s">
        <v>503</v>
      </c>
      <c r="C34" s="605" t="s">
        <v>504</v>
      </c>
      <c r="D34" s="698"/>
      <c r="E34" s="698"/>
      <c r="F34" s="698"/>
      <c r="G34" s="698"/>
      <c r="H34" s="699"/>
      <c r="I34" s="699"/>
      <c r="J34" s="699"/>
      <c r="K34" s="699"/>
    </row>
    <row r="35" spans="2:11" x14ac:dyDescent="0.25">
      <c r="B35" s="603"/>
      <c r="C35" s="605"/>
      <c r="D35" s="698"/>
      <c r="E35" s="698"/>
      <c r="F35" s="698"/>
      <c r="G35" s="698"/>
      <c r="H35" s="699"/>
      <c r="I35" s="699"/>
      <c r="J35" s="699"/>
      <c r="K35" s="699"/>
    </row>
    <row r="36" spans="2:11" ht="30" x14ac:dyDescent="0.25">
      <c r="B36" s="186">
        <v>20</v>
      </c>
      <c r="C36" s="179" t="s">
        <v>505</v>
      </c>
      <c r="D36" s="694">
        <f>+D30</f>
        <v>57080</v>
      </c>
      <c r="E36" s="694">
        <f t="shared" ref="E36:G36" si="0">+E30</f>
        <v>85810</v>
      </c>
      <c r="F36" s="694">
        <f t="shared" si="0"/>
        <v>100527</v>
      </c>
      <c r="G36" s="694">
        <f t="shared" si="0"/>
        <v>78677</v>
      </c>
      <c r="H36" s="694">
        <f>+H30</f>
        <v>54008</v>
      </c>
      <c r="I36" s="694">
        <f t="shared" ref="I36:K36" si="1">+I30</f>
        <v>82351</v>
      </c>
      <c r="J36" s="694">
        <f t="shared" si="1"/>
        <v>97100</v>
      </c>
      <c r="K36" s="694">
        <f t="shared" si="1"/>
        <v>73390</v>
      </c>
    </row>
    <row r="37" spans="2:11" x14ac:dyDescent="0.25">
      <c r="B37" s="603" t="s">
        <v>213</v>
      </c>
      <c r="C37" s="604" t="s">
        <v>506</v>
      </c>
      <c r="D37" s="699">
        <v>0</v>
      </c>
      <c r="E37" s="699">
        <v>0</v>
      </c>
      <c r="F37" s="699">
        <v>0</v>
      </c>
      <c r="G37" s="699">
        <v>0</v>
      </c>
      <c r="H37" s="699">
        <v>0</v>
      </c>
      <c r="I37" s="699">
        <v>0</v>
      </c>
      <c r="J37" s="699">
        <v>0</v>
      </c>
      <c r="K37" s="699">
        <v>0</v>
      </c>
    </row>
    <row r="38" spans="2:11" x14ac:dyDescent="0.25">
      <c r="B38" s="603"/>
      <c r="C38" s="604"/>
      <c r="D38" s="699"/>
      <c r="E38" s="699"/>
      <c r="F38" s="699"/>
      <c r="G38" s="699"/>
      <c r="H38" s="699"/>
      <c r="I38" s="699"/>
      <c r="J38" s="699"/>
      <c r="K38" s="699"/>
    </row>
    <row r="39" spans="2:11" x14ac:dyDescent="0.25">
      <c r="B39" s="603" t="s">
        <v>215</v>
      </c>
      <c r="C39" s="604" t="s">
        <v>507</v>
      </c>
      <c r="D39" s="699">
        <v>0</v>
      </c>
      <c r="E39" s="699">
        <v>0</v>
      </c>
      <c r="F39" s="699">
        <v>0</v>
      </c>
      <c r="G39" s="699">
        <v>0</v>
      </c>
      <c r="H39" s="699">
        <v>0</v>
      </c>
      <c r="I39" s="699">
        <v>0</v>
      </c>
      <c r="J39" s="699">
        <v>0</v>
      </c>
      <c r="K39" s="699">
        <v>0</v>
      </c>
    </row>
    <row r="40" spans="2:11" x14ac:dyDescent="0.25">
      <c r="B40" s="603"/>
      <c r="C40" s="604"/>
      <c r="D40" s="699"/>
      <c r="E40" s="699"/>
      <c r="F40" s="699"/>
      <c r="G40" s="699"/>
      <c r="H40" s="699"/>
      <c r="I40" s="699"/>
      <c r="J40" s="699"/>
      <c r="K40" s="699"/>
    </row>
    <row r="41" spans="2:11" x14ac:dyDescent="0.25">
      <c r="B41" s="603" t="s">
        <v>217</v>
      </c>
      <c r="C41" s="604" t="s">
        <v>508</v>
      </c>
      <c r="D41" s="699">
        <f>+D30</f>
        <v>57080</v>
      </c>
      <c r="E41" s="699">
        <f t="shared" ref="E41:K41" si="2">+E30</f>
        <v>85810</v>
      </c>
      <c r="F41" s="699">
        <f t="shared" si="2"/>
        <v>100527</v>
      </c>
      <c r="G41" s="699">
        <f t="shared" si="2"/>
        <v>78677</v>
      </c>
      <c r="H41" s="699">
        <f t="shared" si="2"/>
        <v>54008</v>
      </c>
      <c r="I41" s="699">
        <f t="shared" si="2"/>
        <v>82351</v>
      </c>
      <c r="J41" s="699">
        <f t="shared" si="2"/>
        <v>97100</v>
      </c>
      <c r="K41" s="699">
        <f t="shared" si="2"/>
        <v>73390</v>
      </c>
    </row>
    <row r="42" spans="2:11" x14ac:dyDescent="0.25">
      <c r="B42" s="603"/>
      <c r="C42" s="604"/>
      <c r="D42" s="699"/>
      <c r="E42" s="699"/>
      <c r="F42" s="699"/>
      <c r="G42" s="699"/>
      <c r="H42" s="699"/>
      <c r="I42" s="699"/>
      <c r="J42" s="699"/>
      <c r="K42" s="699"/>
    </row>
    <row r="43" spans="2:11" x14ac:dyDescent="0.25">
      <c r="B43" s="599" t="s">
        <v>509</v>
      </c>
      <c r="C43" s="600"/>
      <c r="D43" s="600"/>
      <c r="E43" s="600"/>
      <c r="F43" s="600"/>
      <c r="G43" s="600"/>
      <c r="H43" s="600"/>
      <c r="I43" s="600"/>
      <c r="J43" s="600"/>
      <c r="K43" s="601"/>
    </row>
    <row r="44" spans="2:11" x14ac:dyDescent="0.25">
      <c r="B44" s="182" t="s">
        <v>510</v>
      </c>
      <c r="C44" s="183" t="s">
        <v>511</v>
      </c>
      <c r="D44" s="602"/>
      <c r="E44" s="602"/>
      <c r="F44" s="602"/>
      <c r="G44" s="602"/>
      <c r="H44" s="184">
        <f>+H11</f>
        <v>2192561</v>
      </c>
      <c r="I44" s="184">
        <f t="shared" ref="I44:K44" si="3">+I11</f>
        <v>2027423</v>
      </c>
      <c r="J44" s="184">
        <f t="shared" si="3"/>
        <v>1885266</v>
      </c>
      <c r="K44" s="184">
        <f t="shared" si="3"/>
        <v>1721298</v>
      </c>
    </row>
    <row r="45" spans="2:11" x14ac:dyDescent="0.25">
      <c r="B45" s="187">
        <v>22</v>
      </c>
      <c r="C45" s="183" t="s">
        <v>512</v>
      </c>
      <c r="D45" s="602"/>
      <c r="E45" s="602"/>
      <c r="F45" s="602"/>
      <c r="G45" s="602"/>
      <c r="H45" s="184">
        <f>+H27-H30</f>
        <v>435553</v>
      </c>
      <c r="I45" s="184">
        <f t="shared" ref="I45:K45" si="4">+I27-I30</f>
        <v>418435</v>
      </c>
      <c r="J45" s="184">
        <f>+J27-J30</f>
        <v>403144</v>
      </c>
      <c r="K45" s="184">
        <f t="shared" si="4"/>
        <v>396292</v>
      </c>
    </row>
    <row r="46" spans="2:11" x14ac:dyDescent="0.25">
      <c r="B46" s="187">
        <v>23</v>
      </c>
      <c r="C46" s="183" t="s">
        <v>513</v>
      </c>
      <c r="D46" s="602"/>
      <c r="E46" s="602"/>
      <c r="F46" s="602"/>
      <c r="G46" s="602"/>
      <c r="H46" s="185">
        <f>+H44/H45</f>
        <v>5.0339706074806054</v>
      </c>
      <c r="I46" s="185">
        <f t="shared" ref="I46:K46" si="5">+I44/I45</f>
        <v>4.8452519507211393</v>
      </c>
      <c r="J46" s="185">
        <f t="shared" si="5"/>
        <v>4.6764084297422261</v>
      </c>
      <c r="K46" s="185">
        <f t="shared" si="5"/>
        <v>4.3435093315030331</v>
      </c>
    </row>
    <row r="47" spans="2:11" x14ac:dyDescent="0.25">
      <c r="B47" s="69"/>
    </row>
    <row r="48" spans="2:11" x14ac:dyDescent="0.25">
      <c r="B48" s="85"/>
    </row>
    <row r="49" spans="8:11" x14ac:dyDescent="0.25">
      <c r="H49" s="502"/>
      <c r="I49" s="502"/>
      <c r="J49" s="502"/>
      <c r="K49" s="502"/>
    </row>
  </sheetData>
  <sheetProtection algorithmName="SHA-512" hashValue="rxlhdEloiclak7yivC5kTfJ3vTd6G202D7JVtHoE5kmaUjiNlQQWNAmxvnC4wk5dNRqiqy965sUwi0ri9aSPqg==" saltValue="NrdJdnM+bEdp3p+9VLs0Gg==" spinCount="100000" sheet="1" objects="1" scenarios="1"/>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scale="60" fitToHeight="0" orientation="portrait" r:id="rId1"/>
  <headerFooter>
    <oddHeader>&amp;CDA
Bilag XIII</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C91-D0E5-4F4D-A41B-70EDC4794BCD}">
  <sheetPr>
    <tabColor theme="0" tint="-0.14999847407452621"/>
    <pageSetUpPr fitToPage="1"/>
  </sheetPr>
  <dimension ref="B2:I44"/>
  <sheetViews>
    <sheetView workbookViewId="0"/>
  </sheetViews>
  <sheetFormatPr defaultColWidth="9.140625" defaultRowHeight="15" x14ac:dyDescent="0.25"/>
  <cols>
    <col min="1" max="1" width="3.7109375" customWidth="1"/>
    <col min="3" max="3" width="39.28515625" customWidth="1"/>
    <col min="4" max="4" width="13.85546875" customWidth="1"/>
    <col min="5" max="5" width="16" customWidth="1"/>
    <col min="6" max="6" width="18.28515625" customWidth="1"/>
    <col min="7" max="7" width="12.5703125" customWidth="1"/>
    <col min="8" max="8" width="17.85546875" customWidth="1"/>
    <col min="9" max="9" width="16.85546875" customWidth="1"/>
    <col min="10" max="10" width="18.5703125" customWidth="1"/>
  </cols>
  <sheetData>
    <row r="2" spans="2:9" ht="16.5" x14ac:dyDescent="0.25">
      <c r="B2" s="147" t="s">
        <v>472</v>
      </c>
    </row>
    <row r="3" spans="2:9" ht="15.75" x14ac:dyDescent="0.25">
      <c r="B3" s="143" t="s">
        <v>514</v>
      </c>
    </row>
    <row r="4" spans="2:9" s="65" customFormat="1" ht="15.75" thickBot="1" x14ac:dyDescent="0.3"/>
    <row r="5" spans="2:9" ht="15.75" thickBot="1" x14ac:dyDescent="0.3">
      <c r="B5" s="618"/>
      <c r="C5" s="619"/>
      <c r="D5" s="148" t="s">
        <v>2</v>
      </c>
      <c r="E5" s="148" t="s">
        <v>3</v>
      </c>
      <c r="F5" s="149" t="s">
        <v>4</v>
      </c>
      <c r="G5" s="150" t="s">
        <v>100</v>
      </c>
      <c r="H5" s="151" t="s">
        <v>99</v>
      </c>
    </row>
    <row r="6" spans="2:9" ht="15.75" customHeight="1" thickBot="1" x14ac:dyDescent="0.3">
      <c r="B6" s="620" t="s">
        <v>515</v>
      </c>
      <c r="C6" s="621"/>
      <c r="D6" s="624" t="s">
        <v>516</v>
      </c>
      <c r="E6" s="625"/>
      <c r="F6" s="625"/>
      <c r="G6" s="626"/>
      <c r="H6" s="627" t="s">
        <v>517</v>
      </c>
    </row>
    <row r="7" spans="2:9" ht="15" customHeight="1" thickBot="1" x14ac:dyDescent="0.3">
      <c r="B7" s="622"/>
      <c r="C7" s="623"/>
      <c r="D7" s="152" t="s">
        <v>518</v>
      </c>
      <c r="E7" s="152" t="s">
        <v>519</v>
      </c>
      <c r="F7" s="152" t="s">
        <v>520</v>
      </c>
      <c r="G7" s="153" t="s">
        <v>521</v>
      </c>
      <c r="H7" s="628"/>
    </row>
    <row r="8" spans="2:9" ht="15.75" thickBot="1" x14ac:dyDescent="0.3">
      <c r="B8" s="154" t="s">
        <v>522</v>
      </c>
      <c r="C8" s="155"/>
      <c r="D8" s="155"/>
      <c r="E8" s="156"/>
      <c r="F8" s="155"/>
      <c r="G8" s="155"/>
      <c r="H8" s="157"/>
    </row>
    <row r="9" spans="2:9" ht="15.75" thickBot="1" x14ac:dyDescent="0.3">
      <c r="B9" s="468">
        <v>1</v>
      </c>
      <c r="C9" s="469" t="s">
        <v>523</v>
      </c>
      <c r="D9" s="470">
        <f>+D10+D11</f>
        <v>603317</v>
      </c>
      <c r="E9" s="470">
        <f>+E10+E11</f>
        <v>20000</v>
      </c>
      <c r="F9" s="470">
        <f>+F10+F11</f>
        <v>0</v>
      </c>
      <c r="G9" s="470">
        <f>+G10+G11</f>
        <v>110742</v>
      </c>
      <c r="H9" s="471">
        <f>+H10+H11</f>
        <v>714059</v>
      </c>
    </row>
    <row r="10" spans="2:9" ht="15.75" thickBot="1" x14ac:dyDescent="0.3">
      <c r="B10" s="161">
        <v>2</v>
      </c>
      <c r="C10" s="162" t="s">
        <v>103</v>
      </c>
      <c r="D10" s="194">
        <f>553317+50000</f>
        <v>603317</v>
      </c>
      <c r="E10" s="194"/>
      <c r="F10" s="195"/>
      <c r="G10" s="196">
        <v>85132</v>
      </c>
      <c r="H10" s="196">
        <f>553317+85132+50000</f>
        <v>688449</v>
      </c>
      <c r="I10" s="17"/>
    </row>
    <row r="11" spans="2:9" ht="15.75" thickBot="1" x14ac:dyDescent="0.3">
      <c r="B11" s="161">
        <v>3</v>
      </c>
      <c r="C11" s="162" t="s">
        <v>524</v>
      </c>
      <c r="D11" s="198"/>
      <c r="E11" s="194">
        <v>20000</v>
      </c>
      <c r="F11" s="195"/>
      <c r="G11" s="196">
        <v>25610</v>
      </c>
      <c r="H11" s="196">
        <v>25610</v>
      </c>
    </row>
    <row r="12" spans="2:9" ht="15.75" thickBot="1" x14ac:dyDescent="0.3">
      <c r="B12" s="163">
        <v>4</v>
      </c>
      <c r="C12" s="158" t="s">
        <v>525</v>
      </c>
      <c r="D12" s="198"/>
      <c r="E12" s="192">
        <v>3058380</v>
      </c>
      <c r="F12" s="193"/>
      <c r="G12" s="199">
        <v>25555</v>
      </c>
      <c r="H12" s="199">
        <v>2889320</v>
      </c>
    </row>
    <row r="13" spans="2:9" ht="15.75" thickBot="1" x14ac:dyDescent="0.3">
      <c r="B13" s="161">
        <v>5</v>
      </c>
      <c r="C13" s="162" t="s">
        <v>483</v>
      </c>
      <c r="D13" s="198"/>
      <c r="E13" s="200">
        <v>2224444</v>
      </c>
      <c r="F13" s="201"/>
      <c r="G13" s="196">
        <v>7665</v>
      </c>
      <c r="H13" s="196">
        <v>2121</v>
      </c>
    </row>
    <row r="14" spans="2:9" ht="15.75" thickBot="1" x14ac:dyDescent="0.3">
      <c r="B14" s="161">
        <v>6</v>
      </c>
      <c r="C14" s="162" t="s">
        <v>484</v>
      </c>
      <c r="D14" s="198"/>
      <c r="E14" s="200">
        <v>833936</v>
      </c>
      <c r="F14" s="201"/>
      <c r="G14" s="196">
        <v>17891</v>
      </c>
      <c r="H14" s="196">
        <v>768433</v>
      </c>
    </row>
    <row r="15" spans="2:9" ht="15.75" thickBot="1" x14ac:dyDescent="0.3">
      <c r="B15" s="163">
        <v>7</v>
      </c>
      <c r="C15" s="158" t="s">
        <v>526</v>
      </c>
      <c r="D15" s="198"/>
      <c r="E15" s="192">
        <v>292311</v>
      </c>
      <c r="F15" s="192">
        <f>SUM(F16:F17)</f>
        <v>0</v>
      </c>
      <c r="G15" s="192">
        <f>SUM(G16:G17)</f>
        <v>0</v>
      </c>
      <c r="H15" s="193">
        <v>146156</v>
      </c>
    </row>
    <row r="16" spans="2:9" ht="15.75" thickBot="1" x14ac:dyDescent="0.3">
      <c r="B16" s="161">
        <v>8</v>
      </c>
      <c r="C16" s="162" t="s">
        <v>527</v>
      </c>
      <c r="D16" s="198"/>
      <c r="E16" s="202">
        <v>0</v>
      </c>
      <c r="F16" s="201">
        <v>0</v>
      </c>
      <c r="G16" s="196">
        <v>0</v>
      </c>
      <c r="H16" s="196">
        <v>0</v>
      </c>
    </row>
    <row r="17" spans="2:8" ht="15.75" thickBot="1" x14ac:dyDescent="0.3">
      <c r="B17" s="161">
        <v>9</v>
      </c>
      <c r="C17" s="164" t="s">
        <v>528</v>
      </c>
      <c r="D17" s="198"/>
      <c r="E17" s="200">
        <v>292311</v>
      </c>
      <c r="F17" s="201">
        <v>0</v>
      </c>
      <c r="G17" s="196"/>
      <c r="H17" s="196">
        <v>146156</v>
      </c>
    </row>
    <row r="18" spans="2:8" ht="15.75" thickBot="1" x14ac:dyDescent="0.3">
      <c r="B18" s="163">
        <v>10</v>
      </c>
      <c r="C18" s="158" t="s">
        <v>529</v>
      </c>
      <c r="D18" s="198"/>
      <c r="E18" s="192"/>
      <c r="F18" s="193"/>
      <c r="G18" s="199"/>
      <c r="H18" s="199"/>
    </row>
    <row r="19" spans="2:8" ht="15.75" thickBot="1" x14ac:dyDescent="0.3">
      <c r="B19" s="163">
        <v>11</v>
      </c>
      <c r="C19" s="158" t="s">
        <v>530</v>
      </c>
      <c r="D19" s="192"/>
      <c r="E19" s="192">
        <v>45682</v>
      </c>
      <c r="F19" s="192">
        <f>+F21</f>
        <v>0</v>
      </c>
      <c r="G19" s="192">
        <v>198090</v>
      </c>
      <c r="H19" s="193">
        <v>198090</v>
      </c>
    </row>
    <row r="20" spans="2:8" ht="15.75" thickBot="1" x14ac:dyDescent="0.3">
      <c r="B20" s="161">
        <v>12</v>
      </c>
      <c r="C20" s="162" t="s">
        <v>531</v>
      </c>
      <c r="D20" s="200"/>
      <c r="E20" s="198"/>
      <c r="F20" s="203"/>
      <c r="G20" s="204"/>
      <c r="H20" s="472"/>
    </row>
    <row r="21" spans="2:8" ht="45.75" thickBot="1" x14ac:dyDescent="0.3">
      <c r="B21" s="161">
        <v>13</v>
      </c>
      <c r="C21" s="162" t="s">
        <v>532</v>
      </c>
      <c r="D21" s="198"/>
      <c r="E21" s="200">
        <v>46682</v>
      </c>
      <c r="F21" s="201"/>
      <c r="G21" s="196">
        <v>198090</v>
      </c>
      <c r="H21" s="196">
        <v>198090</v>
      </c>
    </row>
    <row r="22" spans="2:8" ht="15.75" thickBot="1" x14ac:dyDescent="0.3">
      <c r="B22" s="165">
        <v>14</v>
      </c>
      <c r="C22" s="166" t="s">
        <v>533</v>
      </c>
      <c r="D22" s="205"/>
      <c r="E22" s="205"/>
      <c r="F22" s="206"/>
      <c r="G22" s="207"/>
      <c r="H22" s="473">
        <f>+H9+H12+H15+H18+H19</f>
        <v>3947625</v>
      </c>
    </row>
    <row r="23" spans="2:8" ht="23.25" customHeight="1" thickBot="1" x14ac:dyDescent="0.3">
      <c r="B23" s="629" t="s">
        <v>534</v>
      </c>
      <c r="C23" s="630"/>
      <c r="D23" s="630"/>
      <c r="E23" s="630"/>
      <c r="F23" s="630"/>
      <c r="G23" s="630"/>
      <c r="H23" s="631"/>
    </row>
    <row r="24" spans="2:8" ht="15.75" thickBot="1" x14ac:dyDescent="0.3">
      <c r="B24" s="163">
        <v>15</v>
      </c>
      <c r="C24" s="158" t="s">
        <v>480</v>
      </c>
      <c r="D24" s="169"/>
      <c r="E24" s="215"/>
      <c r="F24" s="216"/>
      <c r="G24" s="217"/>
      <c r="H24" s="199">
        <v>91456</v>
      </c>
    </row>
    <row r="25" spans="2:8" ht="45.75" thickBot="1" x14ac:dyDescent="0.3">
      <c r="B25" s="163" t="s">
        <v>535</v>
      </c>
      <c r="C25" s="158" t="s">
        <v>536</v>
      </c>
      <c r="D25" s="170"/>
      <c r="E25" s="192"/>
      <c r="F25" s="193"/>
      <c r="G25" s="218"/>
      <c r="H25" s="199"/>
    </row>
    <row r="26" spans="2:8" ht="30.75" thickBot="1" x14ac:dyDescent="0.3">
      <c r="B26" s="163">
        <v>16</v>
      </c>
      <c r="C26" s="158" t="s">
        <v>537</v>
      </c>
      <c r="D26" s="169"/>
      <c r="E26" s="192"/>
      <c r="F26" s="193"/>
      <c r="G26" s="218"/>
      <c r="H26" s="199"/>
    </row>
    <row r="27" spans="2:8" ht="15.75" thickBot="1" x14ac:dyDescent="0.3">
      <c r="B27" s="163">
        <v>17</v>
      </c>
      <c r="C27" s="158" t="s">
        <v>538</v>
      </c>
      <c r="D27" s="169"/>
      <c r="E27" s="192">
        <f>+E28+E29+E30+E32+E34</f>
        <v>44239</v>
      </c>
      <c r="F27" s="192">
        <f>+F28+F29+F30+F32+F34</f>
        <v>26188</v>
      </c>
      <c r="G27" s="192">
        <f>+G28+G29+G30+G32+G34</f>
        <v>2071871</v>
      </c>
      <c r="H27" s="192">
        <f>+H28+H29+H30+H32+H34</f>
        <v>2072838</v>
      </c>
    </row>
    <row r="28" spans="2:8" ht="75.75" thickBot="1" x14ac:dyDescent="0.3">
      <c r="B28" s="161">
        <v>18</v>
      </c>
      <c r="C28" s="172" t="s">
        <v>539</v>
      </c>
      <c r="D28" s="169"/>
      <c r="E28" s="200"/>
      <c r="F28" s="201"/>
      <c r="G28" s="210"/>
      <c r="H28" s="197"/>
    </row>
    <row r="29" spans="2:8" ht="75.75" thickBot="1" x14ac:dyDescent="0.3">
      <c r="B29" s="161">
        <v>19</v>
      </c>
      <c r="C29" s="162" t="s">
        <v>540</v>
      </c>
      <c r="D29" s="169"/>
      <c r="E29" s="200"/>
      <c r="F29" s="201"/>
      <c r="G29" s="210"/>
      <c r="H29" s="197"/>
    </row>
    <row r="30" spans="2:8" ht="60.75" thickBot="1" x14ac:dyDescent="0.3">
      <c r="B30" s="161">
        <v>20</v>
      </c>
      <c r="C30" s="162" t="s">
        <v>541</v>
      </c>
      <c r="D30" s="169"/>
      <c r="E30" s="200">
        <v>9277</v>
      </c>
      <c r="F30" s="201">
        <v>17761</v>
      </c>
      <c r="G30" s="210">
        <v>1744750</v>
      </c>
      <c r="H30" s="197">
        <v>1758268</v>
      </c>
    </row>
    <row r="31" spans="2:8" ht="45.75" thickBot="1" x14ac:dyDescent="0.3">
      <c r="B31" s="161">
        <v>21</v>
      </c>
      <c r="C31" s="173" t="s">
        <v>542</v>
      </c>
      <c r="D31" s="169"/>
      <c r="E31" s="508">
        <v>283</v>
      </c>
      <c r="F31" s="509">
        <v>66299</v>
      </c>
      <c r="G31" s="510">
        <f>205925-283-66299</f>
        <v>139343</v>
      </c>
      <c r="H31" s="511">
        <f>SUM(E31:G31)</f>
        <v>205925</v>
      </c>
    </row>
    <row r="32" spans="2:8" ht="30.75" thickBot="1" x14ac:dyDescent="0.3">
      <c r="B32" s="161">
        <v>22</v>
      </c>
      <c r="C32" s="162" t="s">
        <v>543</v>
      </c>
      <c r="D32" s="169"/>
      <c r="E32" s="200"/>
      <c r="F32" s="201"/>
      <c r="G32" s="210"/>
      <c r="H32" s="197"/>
    </row>
    <row r="33" spans="2:8" ht="45.75" thickBot="1" x14ac:dyDescent="0.3">
      <c r="B33" s="161">
        <v>23</v>
      </c>
      <c r="C33" s="173" t="s">
        <v>542</v>
      </c>
      <c r="D33" s="169"/>
      <c r="E33" s="200"/>
      <c r="F33" s="201"/>
      <c r="G33" s="210"/>
      <c r="H33" s="197"/>
    </row>
    <row r="34" spans="2:8" ht="90.75" thickBot="1" x14ac:dyDescent="0.3">
      <c r="B34" s="161">
        <v>24</v>
      </c>
      <c r="C34" s="162" t="s">
        <v>544</v>
      </c>
      <c r="D34" s="169"/>
      <c r="E34" s="200">
        <v>34962</v>
      </c>
      <c r="F34" s="201">
        <v>8427</v>
      </c>
      <c r="G34" s="210">
        <f>135068+192053</f>
        <v>327121</v>
      </c>
      <c r="H34" s="210">
        <v>314570</v>
      </c>
    </row>
    <row r="35" spans="2:8" ht="15.75" thickBot="1" x14ac:dyDescent="0.3">
      <c r="B35" s="163">
        <v>25</v>
      </c>
      <c r="C35" s="158" t="s">
        <v>545</v>
      </c>
      <c r="D35" s="169"/>
      <c r="E35" s="159"/>
      <c r="F35" s="160"/>
      <c r="G35" s="171"/>
      <c r="H35" s="474"/>
    </row>
    <row r="36" spans="2:8" ht="15.75" thickBot="1" x14ac:dyDescent="0.3">
      <c r="B36" s="163">
        <v>26</v>
      </c>
      <c r="C36" s="158" t="s">
        <v>546</v>
      </c>
      <c r="D36" s="159"/>
      <c r="E36" s="220">
        <f>+E41</f>
        <v>0</v>
      </c>
      <c r="F36" s="220">
        <f>+F41</f>
        <v>0</v>
      </c>
      <c r="G36" s="220">
        <f>+G41</f>
        <v>77142</v>
      </c>
      <c r="H36" s="475">
        <f>+H41</f>
        <v>77142</v>
      </c>
    </row>
    <row r="37" spans="2:8" ht="15.75" thickBot="1" x14ac:dyDescent="0.3">
      <c r="B37" s="161">
        <v>27</v>
      </c>
      <c r="C37" s="162" t="s">
        <v>547</v>
      </c>
      <c r="D37" s="169"/>
      <c r="E37" s="169"/>
      <c r="F37" s="174"/>
      <c r="G37" s="149"/>
      <c r="H37" s="476"/>
    </row>
    <row r="38" spans="2:8" ht="45.75" thickBot="1" x14ac:dyDescent="0.3">
      <c r="B38" s="161">
        <v>28</v>
      </c>
      <c r="C38" s="162" t="s">
        <v>548</v>
      </c>
      <c r="D38" s="169"/>
      <c r="E38" s="615"/>
      <c r="F38" s="616"/>
      <c r="G38" s="617"/>
      <c r="H38" s="477"/>
    </row>
    <row r="39" spans="2:8" ht="15.75" thickBot="1" x14ac:dyDescent="0.3">
      <c r="B39" s="161">
        <v>29</v>
      </c>
      <c r="C39" s="162" t="s">
        <v>549</v>
      </c>
      <c r="D39" s="175"/>
      <c r="E39" s="615"/>
      <c r="F39" s="616"/>
      <c r="G39" s="617"/>
      <c r="H39" s="197"/>
    </row>
    <row r="40" spans="2:8" ht="30.75" thickBot="1" x14ac:dyDescent="0.3">
      <c r="B40" s="161">
        <v>30</v>
      </c>
      <c r="C40" s="162" t="s">
        <v>550</v>
      </c>
      <c r="D40" s="169"/>
      <c r="E40" s="615"/>
      <c r="F40" s="616"/>
      <c r="G40" s="617"/>
      <c r="H40" s="197"/>
    </row>
    <row r="41" spans="2:8" ht="30.75" thickBot="1" x14ac:dyDescent="0.3">
      <c r="B41" s="161">
        <v>31</v>
      </c>
      <c r="C41" s="162" t="s">
        <v>551</v>
      </c>
      <c r="D41" s="169"/>
      <c r="E41" s="208">
        <v>0</v>
      </c>
      <c r="F41" s="209"/>
      <c r="G41" s="210">
        <v>77142</v>
      </c>
      <c r="H41" s="197">
        <v>77142</v>
      </c>
    </row>
    <row r="42" spans="2:8" ht="15.75" thickBot="1" x14ac:dyDescent="0.3">
      <c r="B42" s="163">
        <v>32</v>
      </c>
      <c r="C42" s="158" t="s">
        <v>552</v>
      </c>
      <c r="D42" s="169"/>
      <c r="E42" s="211">
        <v>366579</v>
      </c>
      <c r="F42" s="212"/>
      <c r="G42" s="213"/>
      <c r="H42" s="214">
        <v>18329</v>
      </c>
    </row>
    <row r="43" spans="2:8" ht="15.75" thickBot="1" x14ac:dyDescent="0.3">
      <c r="B43" s="165">
        <v>33</v>
      </c>
      <c r="C43" s="166" t="s">
        <v>40</v>
      </c>
      <c r="D43" s="167"/>
      <c r="E43" s="167"/>
      <c r="F43" s="168"/>
      <c r="G43" s="176"/>
      <c r="H43" s="219">
        <f>+H42+H36+H35+H27+H24</f>
        <v>2259765</v>
      </c>
    </row>
    <row r="44" spans="2:8" ht="15.75" thickBot="1" x14ac:dyDescent="0.3">
      <c r="B44" s="165">
        <v>34</v>
      </c>
      <c r="C44" s="177" t="s">
        <v>553</v>
      </c>
      <c r="D44" s="167"/>
      <c r="E44" s="167"/>
      <c r="F44" s="168"/>
      <c r="G44" s="168"/>
      <c r="H44" s="221">
        <f>+H22/H43</f>
        <v>1.7469183742557302</v>
      </c>
    </row>
  </sheetData>
  <sheetProtection algorithmName="SHA-512" hashValue="bJWchOkzB+YEHEPdjDUwQMG5qUPS7Trpr5rgUU7ZGKYjemUzjUccSPfVXPhbHuQQ4XhCscP2JmcioU+829HIVQ==" saltValue="e0R1yIHSh7iosc5VsQq4Kg==" spinCount="100000" sheet="1" objects="1" scenarios="1"/>
  <mergeCells count="8">
    <mergeCell ref="H6:H7"/>
    <mergeCell ref="B23:H23"/>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scale="65" orientation="portrait" r:id="rId1"/>
  <headerFooter>
    <oddHeader>&amp;CDA
Bilag XIII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7261C-AACF-4DE7-82F0-78FAAC1F1C56}">
  <sheetPr>
    <tabColor theme="0" tint="-0.14999847407452621"/>
    <pageSetUpPr fitToPage="1"/>
  </sheetPr>
  <dimension ref="A1:Q37"/>
  <sheetViews>
    <sheetView workbookViewId="0"/>
  </sheetViews>
  <sheetFormatPr defaultRowHeight="15" x14ac:dyDescent="0.25"/>
  <cols>
    <col min="1" max="1" width="5.85546875" customWidth="1"/>
    <col min="2" max="2" width="24" bestFit="1" customWidth="1"/>
    <col min="3" max="17" width="11.7109375" customWidth="1"/>
  </cols>
  <sheetData>
    <row r="1" spans="1:17" x14ac:dyDescent="0.25">
      <c r="A1" s="225" t="s">
        <v>565</v>
      </c>
    </row>
    <row r="2" spans="1:17" ht="15.75" x14ac:dyDescent="0.25">
      <c r="A2" s="143"/>
      <c r="B2" s="226"/>
      <c r="C2" s="226"/>
      <c r="D2" s="226"/>
      <c r="E2" s="226"/>
      <c r="F2" s="226"/>
      <c r="G2" s="226"/>
      <c r="H2" s="226"/>
      <c r="I2" s="226"/>
      <c r="J2" s="226"/>
      <c r="K2" s="226"/>
      <c r="L2" s="226"/>
      <c r="M2" s="226"/>
      <c r="N2" s="226"/>
      <c r="O2" s="226"/>
      <c r="P2" s="226"/>
      <c r="Q2" s="226"/>
    </row>
    <row r="3" spans="1:17" ht="16.5" thickBot="1" x14ac:dyDescent="0.3">
      <c r="A3" s="143"/>
      <c r="B3" s="226"/>
      <c r="C3" s="226"/>
      <c r="D3" s="226"/>
      <c r="E3" s="226"/>
      <c r="F3" s="226"/>
      <c r="G3" s="226"/>
      <c r="H3" s="226"/>
      <c r="I3" s="226"/>
      <c r="J3" s="226"/>
      <c r="K3" s="226"/>
      <c r="L3" s="226"/>
      <c r="M3" s="226"/>
      <c r="N3" s="226"/>
      <c r="O3" s="226"/>
      <c r="P3" s="226"/>
      <c r="Q3" s="226"/>
    </row>
    <row r="4" spans="1:17" ht="16.5" thickBot="1" x14ac:dyDescent="0.3">
      <c r="A4" s="227"/>
      <c r="B4" s="227"/>
      <c r="C4" s="228" t="s">
        <v>2</v>
      </c>
      <c r="D4" s="229" t="s">
        <v>3</v>
      </c>
      <c r="E4" s="229" t="s">
        <v>4</v>
      </c>
      <c r="F4" s="229" t="s">
        <v>100</v>
      </c>
      <c r="G4" s="229" t="s">
        <v>99</v>
      </c>
      <c r="H4" s="229" t="s">
        <v>115</v>
      </c>
      <c r="I4" s="229" t="s">
        <v>116</v>
      </c>
      <c r="J4" s="229" t="s">
        <v>145</v>
      </c>
      <c r="K4" s="229" t="s">
        <v>316</v>
      </c>
      <c r="L4" s="229" t="s">
        <v>317</v>
      </c>
      <c r="M4" s="229" t="s">
        <v>318</v>
      </c>
      <c r="N4" s="229" t="s">
        <v>319</v>
      </c>
      <c r="O4" s="229" t="s">
        <v>320</v>
      </c>
      <c r="P4" s="229" t="s">
        <v>566</v>
      </c>
      <c r="Q4" s="229" t="s">
        <v>567</v>
      </c>
    </row>
    <row r="5" spans="1:17" ht="40.5" customHeight="1" thickBot="1" x14ac:dyDescent="0.3">
      <c r="A5" s="227"/>
      <c r="B5" s="227"/>
      <c r="C5" s="632" t="s">
        <v>568</v>
      </c>
      <c r="D5" s="633"/>
      <c r="E5" s="633"/>
      <c r="F5" s="633"/>
      <c r="G5" s="633"/>
      <c r="H5" s="634"/>
      <c r="I5" s="635" t="s">
        <v>569</v>
      </c>
      <c r="J5" s="633"/>
      <c r="K5" s="633"/>
      <c r="L5" s="633"/>
      <c r="M5" s="633"/>
      <c r="N5" s="634"/>
      <c r="O5" s="636" t="s">
        <v>570</v>
      </c>
      <c r="P5" s="632" t="s">
        <v>571</v>
      </c>
      <c r="Q5" s="634"/>
    </row>
    <row r="6" spans="1:17" ht="57.75" customHeight="1" thickBot="1" x14ac:dyDescent="0.3">
      <c r="A6" s="227"/>
      <c r="B6" s="227"/>
      <c r="C6" s="638" t="s">
        <v>572</v>
      </c>
      <c r="D6" s="639"/>
      <c r="E6" s="640"/>
      <c r="F6" s="641" t="s">
        <v>468</v>
      </c>
      <c r="G6" s="639"/>
      <c r="H6" s="640"/>
      <c r="I6" s="641" t="s">
        <v>573</v>
      </c>
      <c r="J6" s="639"/>
      <c r="K6" s="640"/>
      <c r="L6" s="641" t="s">
        <v>574</v>
      </c>
      <c r="M6" s="639"/>
      <c r="N6" s="640"/>
      <c r="O6" s="637"/>
      <c r="P6" s="642" t="s">
        <v>575</v>
      </c>
      <c r="Q6" s="642" t="s">
        <v>576</v>
      </c>
    </row>
    <row r="7" spans="1:17" ht="16.5" thickBot="1" x14ac:dyDescent="0.3">
      <c r="A7" s="227"/>
      <c r="B7" s="230"/>
      <c r="C7" s="231"/>
      <c r="D7" s="229" t="s">
        <v>577</v>
      </c>
      <c r="E7" s="229" t="s">
        <v>578</v>
      </c>
      <c r="F7" s="231"/>
      <c r="G7" s="229" t="s">
        <v>578</v>
      </c>
      <c r="H7" s="229" t="s">
        <v>579</v>
      </c>
      <c r="I7" s="232"/>
      <c r="J7" s="233" t="s">
        <v>577</v>
      </c>
      <c r="K7" s="233" t="s">
        <v>578</v>
      </c>
      <c r="L7" s="231"/>
      <c r="M7" s="233" t="s">
        <v>578</v>
      </c>
      <c r="N7" s="233" t="s">
        <v>579</v>
      </c>
      <c r="O7" s="231"/>
      <c r="P7" s="643"/>
      <c r="Q7" s="643"/>
    </row>
    <row r="8" spans="1:17" ht="32.25" thickBot="1" x14ac:dyDescent="0.3">
      <c r="A8" s="234" t="s">
        <v>580</v>
      </c>
      <c r="B8" s="235" t="s">
        <v>581</v>
      </c>
      <c r="C8" s="300">
        <f>SUM(D8:E8)</f>
        <v>903333</v>
      </c>
      <c r="D8" s="301">
        <v>903333</v>
      </c>
      <c r="E8" s="301">
        <v>0</v>
      </c>
      <c r="F8" s="300">
        <f>SUM(G8:H8)</f>
        <v>0</v>
      </c>
      <c r="G8" s="301">
        <v>0</v>
      </c>
      <c r="H8" s="301">
        <v>0</v>
      </c>
      <c r="I8" s="300">
        <f>SUM(J8:K8)</f>
        <v>16</v>
      </c>
      <c r="J8" s="300">
        <v>16</v>
      </c>
      <c r="K8" s="300">
        <v>0</v>
      </c>
      <c r="L8" s="300">
        <f>SUM(M8:N8)</f>
        <v>0</v>
      </c>
      <c r="M8" s="300">
        <v>0</v>
      </c>
      <c r="N8" s="300">
        <v>0</v>
      </c>
      <c r="O8" s="300"/>
      <c r="P8" s="301"/>
      <c r="Q8" s="301"/>
    </row>
    <row r="9" spans="1:17" ht="15.75" thickBot="1" x14ac:dyDescent="0.3">
      <c r="A9" s="234" t="s">
        <v>335</v>
      </c>
      <c r="B9" s="235" t="s">
        <v>582</v>
      </c>
      <c r="C9" s="300">
        <f t="shared" ref="C9:C29" si="0">SUM(D9:E9)</f>
        <v>1747092</v>
      </c>
      <c r="D9" s="301">
        <f>+D10+D11+D12+D13+D14+D16</f>
        <v>1246590</v>
      </c>
      <c r="E9" s="301">
        <v>500502</v>
      </c>
      <c r="F9" s="300">
        <f t="shared" ref="F9:F29" si="1">SUM(G9:H9)</f>
        <v>160869</v>
      </c>
      <c r="G9" s="301">
        <f t="shared" ref="G9:H9" si="2">+G10+G11+G12+G13+G14+G16</f>
        <v>11584</v>
      </c>
      <c r="H9" s="301">
        <f t="shared" si="2"/>
        <v>149285</v>
      </c>
      <c r="I9" s="300">
        <f t="shared" ref="I9:I29" si="3">SUM(J9:K9)</f>
        <v>34007</v>
      </c>
      <c r="J9" s="301">
        <f t="shared" ref="J9" si="4">+J10+J11+J12+J13+J14+J16</f>
        <v>6255</v>
      </c>
      <c r="K9" s="301">
        <f t="shared" ref="K9" si="5">+K10+K11+K12+K13+K14+K16</f>
        <v>27752</v>
      </c>
      <c r="L9" s="300">
        <f t="shared" ref="L9:L29" si="6">SUM(M9:N9)</f>
        <v>65304</v>
      </c>
      <c r="M9" s="301">
        <f t="shared" ref="M9" si="7">+M10+M11+M12+M13+M14+M16</f>
        <v>560</v>
      </c>
      <c r="N9" s="301">
        <f t="shared" ref="N9" si="8">+N10+N11+N12+N13+N14+N16</f>
        <v>64744</v>
      </c>
      <c r="O9" s="300">
        <v>0</v>
      </c>
      <c r="P9" s="301">
        <f t="shared" ref="P9" si="9">+P10+P11+P12+P13+P14+P16</f>
        <v>73994</v>
      </c>
      <c r="Q9" s="301">
        <f t="shared" ref="Q9" si="10">+Q10+Q11+Q12+Q13+Q14+Q16</f>
        <v>0</v>
      </c>
    </row>
    <row r="10" spans="1:17" ht="15.75" thickBot="1" x14ac:dyDescent="0.3">
      <c r="A10" s="237" t="s">
        <v>337</v>
      </c>
      <c r="B10" s="238" t="s">
        <v>583</v>
      </c>
      <c r="C10" s="300">
        <f t="shared" si="0"/>
        <v>0</v>
      </c>
      <c r="D10" s="303"/>
      <c r="E10" s="303"/>
      <c r="F10" s="300">
        <f t="shared" si="1"/>
        <v>0</v>
      </c>
      <c r="G10" s="301"/>
      <c r="H10" s="301"/>
      <c r="I10" s="300">
        <f t="shared" si="3"/>
        <v>0</v>
      </c>
      <c r="J10" s="301"/>
      <c r="K10" s="301"/>
      <c r="L10" s="300">
        <f t="shared" si="6"/>
        <v>0</v>
      </c>
      <c r="M10" s="301"/>
      <c r="N10" s="301"/>
      <c r="O10" s="301"/>
      <c r="P10" s="301"/>
      <c r="Q10" s="302"/>
    </row>
    <row r="11" spans="1:17" ht="15.75" thickBot="1" x14ac:dyDescent="0.3">
      <c r="A11" s="237" t="s">
        <v>584</v>
      </c>
      <c r="B11" s="238" t="s">
        <v>585</v>
      </c>
      <c r="C11" s="300">
        <f t="shared" si="0"/>
        <v>0</v>
      </c>
      <c r="D11" s="303"/>
      <c r="E11" s="303"/>
      <c r="F11" s="300">
        <f t="shared" si="1"/>
        <v>0</v>
      </c>
      <c r="G11" s="301"/>
      <c r="H11" s="301"/>
      <c r="I11" s="300">
        <f t="shared" si="3"/>
        <v>0</v>
      </c>
      <c r="J11" s="301"/>
      <c r="K11" s="301"/>
      <c r="L11" s="300">
        <f t="shared" si="6"/>
        <v>0</v>
      </c>
      <c r="M11" s="301"/>
      <c r="N11" s="301"/>
      <c r="O11" s="301"/>
      <c r="P11" s="301"/>
      <c r="Q11" s="302"/>
    </row>
    <row r="12" spans="1:17" ht="15.75" thickBot="1" x14ac:dyDescent="0.3">
      <c r="A12" s="237" t="s">
        <v>586</v>
      </c>
      <c r="B12" s="238" t="s">
        <v>587</v>
      </c>
      <c r="C12" s="300">
        <f t="shared" si="0"/>
        <v>34968</v>
      </c>
      <c r="D12" s="303">
        <v>34968</v>
      </c>
      <c r="E12" s="303">
        <v>0</v>
      </c>
      <c r="F12" s="300">
        <f t="shared" si="1"/>
        <v>0</v>
      </c>
      <c r="G12" s="301">
        <v>0</v>
      </c>
      <c r="H12" s="301">
        <v>0</v>
      </c>
      <c r="I12" s="300">
        <f t="shared" si="3"/>
        <v>0</v>
      </c>
      <c r="J12" s="301">
        <v>0</v>
      </c>
      <c r="K12" s="301">
        <v>0</v>
      </c>
      <c r="L12" s="300">
        <f t="shared" si="6"/>
        <v>0</v>
      </c>
      <c r="M12" s="301">
        <v>0</v>
      </c>
      <c r="N12" s="301">
        <v>0</v>
      </c>
      <c r="O12" s="301"/>
      <c r="P12" s="301"/>
      <c r="Q12" s="302"/>
    </row>
    <row r="13" spans="1:17" ht="15.75" thickBot="1" x14ac:dyDescent="0.3">
      <c r="A13" s="237" t="s">
        <v>588</v>
      </c>
      <c r="B13" s="238" t="s">
        <v>589</v>
      </c>
      <c r="C13" s="300">
        <f t="shared" si="0"/>
        <v>78147</v>
      </c>
      <c r="D13" s="303">
        <v>64388</v>
      </c>
      <c r="E13" s="303">
        <v>13759</v>
      </c>
      <c r="F13" s="300">
        <f t="shared" si="1"/>
        <v>5012</v>
      </c>
      <c r="G13" s="301">
        <v>42</v>
      </c>
      <c r="H13" s="301">
        <v>4970</v>
      </c>
      <c r="I13" s="300">
        <f t="shared" si="3"/>
        <v>860</v>
      </c>
      <c r="J13" s="301">
        <v>120</v>
      </c>
      <c r="K13" s="301">
        <v>740</v>
      </c>
      <c r="L13" s="300">
        <f t="shared" si="6"/>
        <v>1880</v>
      </c>
      <c r="M13" s="301">
        <v>0</v>
      </c>
      <c r="N13" s="301">
        <v>1880</v>
      </c>
      <c r="O13" s="301"/>
      <c r="P13" s="301"/>
      <c r="Q13" s="302"/>
    </row>
    <row r="14" spans="1:17" ht="15.75" thickBot="1" x14ac:dyDescent="0.3">
      <c r="A14" s="237" t="s">
        <v>590</v>
      </c>
      <c r="B14" s="238" t="s">
        <v>591</v>
      </c>
      <c r="C14" s="300">
        <f t="shared" si="0"/>
        <v>1025993</v>
      </c>
      <c r="D14" s="427">
        <v>591444</v>
      </c>
      <c r="E14" s="427">
        <v>434549</v>
      </c>
      <c r="F14" s="300">
        <f t="shared" si="1"/>
        <v>117107</v>
      </c>
      <c r="G14" s="428">
        <f>10714+67</f>
        <v>10781</v>
      </c>
      <c r="H14" s="428">
        <v>106326</v>
      </c>
      <c r="I14" s="300">
        <f t="shared" si="3"/>
        <v>24798</v>
      </c>
      <c r="J14" s="428">
        <f>3694-92</f>
        <v>3602</v>
      </c>
      <c r="K14" s="428">
        <v>21196</v>
      </c>
      <c r="L14" s="300">
        <f t="shared" si="6"/>
        <v>36497</v>
      </c>
      <c r="M14" s="301">
        <v>473</v>
      </c>
      <c r="N14" s="301">
        <v>36024</v>
      </c>
      <c r="O14" s="301"/>
      <c r="P14" s="428">
        <v>32601</v>
      </c>
      <c r="Q14" s="302"/>
    </row>
    <row r="15" spans="1:17" ht="15.75" thickBot="1" x14ac:dyDescent="0.3">
      <c r="A15" s="237" t="s">
        <v>592</v>
      </c>
      <c r="B15" s="239" t="s">
        <v>593</v>
      </c>
      <c r="C15" s="300">
        <f t="shared" si="0"/>
        <v>435972</v>
      </c>
      <c r="D15" s="303">
        <v>340177</v>
      </c>
      <c r="E15" s="303">
        <v>95795</v>
      </c>
      <c r="F15" s="300">
        <f t="shared" si="1"/>
        <v>91936</v>
      </c>
      <c r="G15" s="301">
        <v>10714</v>
      </c>
      <c r="H15" s="301">
        <v>81222</v>
      </c>
      <c r="I15" s="300">
        <f t="shared" si="3"/>
        <v>7949</v>
      </c>
      <c r="J15" s="301">
        <v>1435</v>
      </c>
      <c r="K15" s="301">
        <v>6514</v>
      </c>
      <c r="L15" s="300">
        <f t="shared" si="6"/>
        <v>29836</v>
      </c>
      <c r="M15" s="301">
        <v>473</v>
      </c>
      <c r="N15" s="301">
        <v>29363</v>
      </c>
      <c r="O15" s="301"/>
      <c r="P15" s="428"/>
      <c r="Q15" s="302"/>
    </row>
    <row r="16" spans="1:17" ht="15.75" thickBot="1" x14ac:dyDescent="0.3">
      <c r="A16" s="237" t="s">
        <v>594</v>
      </c>
      <c r="B16" s="238" t="s">
        <v>595</v>
      </c>
      <c r="C16" s="300">
        <f t="shared" si="0"/>
        <v>607984</v>
      </c>
      <c r="D16" s="303">
        <v>555790</v>
      </c>
      <c r="E16" s="303">
        <v>52194</v>
      </c>
      <c r="F16" s="300">
        <f t="shared" si="1"/>
        <v>38750</v>
      </c>
      <c r="G16" s="301">
        <v>761</v>
      </c>
      <c r="H16" s="301">
        <v>37989</v>
      </c>
      <c r="I16" s="300">
        <f t="shared" si="3"/>
        <v>8349</v>
      </c>
      <c r="J16" s="301">
        <v>2533</v>
      </c>
      <c r="K16" s="301">
        <v>5816</v>
      </c>
      <c r="L16" s="300">
        <f t="shared" si="6"/>
        <v>26927</v>
      </c>
      <c r="M16" s="301">
        <v>87</v>
      </c>
      <c r="N16" s="301">
        <v>26840</v>
      </c>
      <c r="O16" s="301"/>
      <c r="P16" s="428">
        <f>73994-32601</f>
        <v>41393</v>
      </c>
      <c r="Q16" s="302"/>
    </row>
    <row r="17" spans="1:17" ht="15.75" thickBot="1" x14ac:dyDescent="0.3">
      <c r="A17" s="240" t="s">
        <v>596</v>
      </c>
      <c r="B17" s="236" t="s">
        <v>597</v>
      </c>
      <c r="C17" s="300">
        <f t="shared" si="0"/>
        <v>0</v>
      </c>
      <c r="D17" s="301"/>
      <c r="E17" s="301"/>
      <c r="F17" s="300">
        <f t="shared" si="1"/>
        <v>0</v>
      </c>
      <c r="G17" s="301"/>
      <c r="H17" s="301"/>
      <c r="I17" s="300">
        <f t="shared" si="3"/>
        <v>0</v>
      </c>
      <c r="J17" s="301"/>
      <c r="K17" s="301"/>
      <c r="L17" s="300">
        <f t="shared" si="6"/>
        <v>0</v>
      </c>
      <c r="M17" s="301"/>
      <c r="N17" s="301"/>
      <c r="O17" s="301"/>
      <c r="P17" s="301"/>
      <c r="Q17" s="302"/>
    </row>
    <row r="18" spans="1:17" ht="15.75" thickBot="1" x14ac:dyDescent="0.3">
      <c r="A18" s="237" t="s">
        <v>598</v>
      </c>
      <c r="B18" s="238" t="s">
        <v>583</v>
      </c>
      <c r="C18" s="300">
        <f t="shared" si="0"/>
        <v>0</v>
      </c>
      <c r="D18" s="303"/>
      <c r="E18" s="303"/>
      <c r="F18" s="300">
        <f t="shared" si="1"/>
        <v>0</v>
      </c>
      <c r="G18" s="301"/>
      <c r="H18" s="301"/>
      <c r="I18" s="300">
        <f t="shared" si="3"/>
        <v>0</v>
      </c>
      <c r="J18" s="301"/>
      <c r="K18" s="301"/>
      <c r="L18" s="300">
        <f t="shared" si="6"/>
        <v>0</v>
      </c>
      <c r="M18" s="301"/>
      <c r="N18" s="301"/>
      <c r="O18" s="301"/>
      <c r="P18" s="301"/>
      <c r="Q18" s="302"/>
    </row>
    <row r="19" spans="1:17" ht="15.75" thickBot="1" x14ac:dyDescent="0.3">
      <c r="A19" s="237" t="s">
        <v>599</v>
      </c>
      <c r="B19" s="238" t="s">
        <v>585</v>
      </c>
      <c r="C19" s="300">
        <f t="shared" si="0"/>
        <v>0</v>
      </c>
      <c r="D19" s="303"/>
      <c r="E19" s="303"/>
      <c r="F19" s="300">
        <f t="shared" si="1"/>
        <v>0</v>
      </c>
      <c r="G19" s="301"/>
      <c r="H19" s="301"/>
      <c r="I19" s="300">
        <f t="shared" si="3"/>
        <v>0</v>
      </c>
      <c r="J19" s="301"/>
      <c r="K19" s="301"/>
      <c r="L19" s="300">
        <f t="shared" si="6"/>
        <v>0</v>
      </c>
      <c r="M19" s="301"/>
      <c r="N19" s="301"/>
      <c r="O19" s="301"/>
      <c r="P19" s="301"/>
      <c r="Q19" s="302"/>
    </row>
    <row r="20" spans="1:17" ht="15.75" thickBot="1" x14ac:dyDescent="0.3">
      <c r="A20" s="237" t="s">
        <v>600</v>
      </c>
      <c r="B20" s="238" t="s">
        <v>587</v>
      </c>
      <c r="C20" s="300">
        <f t="shared" si="0"/>
        <v>0</v>
      </c>
      <c r="D20" s="303"/>
      <c r="E20" s="303"/>
      <c r="F20" s="300">
        <f t="shared" si="1"/>
        <v>0</v>
      </c>
      <c r="G20" s="301"/>
      <c r="H20" s="301"/>
      <c r="I20" s="300">
        <f t="shared" si="3"/>
        <v>0</v>
      </c>
      <c r="J20" s="301"/>
      <c r="K20" s="301"/>
      <c r="L20" s="300">
        <f t="shared" si="6"/>
        <v>0</v>
      </c>
      <c r="M20" s="301"/>
      <c r="N20" s="301"/>
      <c r="O20" s="301"/>
      <c r="P20" s="301"/>
      <c r="Q20" s="302"/>
    </row>
    <row r="21" spans="1:17" ht="15.75" thickBot="1" x14ac:dyDescent="0.3">
      <c r="A21" s="237" t="s">
        <v>601</v>
      </c>
      <c r="B21" s="238" t="s">
        <v>589</v>
      </c>
      <c r="C21" s="300">
        <f t="shared" si="0"/>
        <v>0</v>
      </c>
      <c r="D21" s="303"/>
      <c r="E21" s="303"/>
      <c r="F21" s="300">
        <f t="shared" si="1"/>
        <v>0</v>
      </c>
      <c r="G21" s="301"/>
      <c r="H21" s="301"/>
      <c r="I21" s="300">
        <f t="shared" si="3"/>
        <v>0</v>
      </c>
      <c r="J21" s="301"/>
      <c r="K21" s="301"/>
      <c r="L21" s="300">
        <f t="shared" si="6"/>
        <v>0</v>
      </c>
      <c r="M21" s="301"/>
      <c r="N21" s="301"/>
      <c r="O21" s="301"/>
      <c r="P21" s="301"/>
      <c r="Q21" s="302"/>
    </row>
    <row r="22" spans="1:17" ht="15.75" thickBot="1" x14ac:dyDescent="0.3">
      <c r="A22" s="237" t="s">
        <v>602</v>
      </c>
      <c r="B22" s="238" t="s">
        <v>591</v>
      </c>
      <c r="C22" s="300">
        <f t="shared" si="0"/>
        <v>0</v>
      </c>
      <c r="D22" s="303"/>
      <c r="E22" s="303"/>
      <c r="F22" s="300">
        <f t="shared" si="1"/>
        <v>0</v>
      </c>
      <c r="G22" s="301"/>
      <c r="H22" s="301"/>
      <c r="I22" s="300">
        <f t="shared" si="3"/>
        <v>0</v>
      </c>
      <c r="J22" s="301"/>
      <c r="K22" s="301"/>
      <c r="L22" s="300">
        <f t="shared" si="6"/>
        <v>0</v>
      </c>
      <c r="M22" s="301"/>
      <c r="N22" s="301"/>
      <c r="O22" s="301"/>
      <c r="P22" s="301"/>
      <c r="Q22" s="302"/>
    </row>
    <row r="23" spans="1:17" ht="21.75" thickBot="1" x14ac:dyDescent="0.3">
      <c r="A23" s="240" t="s">
        <v>603</v>
      </c>
      <c r="B23" s="236" t="s">
        <v>400</v>
      </c>
      <c r="C23" s="300">
        <f t="shared" si="0"/>
        <v>1426312</v>
      </c>
      <c r="D23" s="301">
        <f>SUM(D24:D29)</f>
        <v>1302289</v>
      </c>
      <c r="E23" s="301">
        <f>SUM(E24:E29)</f>
        <v>124023</v>
      </c>
      <c r="F23" s="300">
        <f t="shared" si="1"/>
        <v>47415</v>
      </c>
      <c r="G23" s="300">
        <f>SUM(G24:G29)</f>
        <v>9325</v>
      </c>
      <c r="H23" s="300">
        <f>SUM(H24:H29)</f>
        <v>38090</v>
      </c>
      <c r="I23" s="300">
        <f t="shared" si="3"/>
        <v>5131</v>
      </c>
      <c r="J23" s="300">
        <f>SUM(J24:J29)</f>
        <v>1528</v>
      </c>
      <c r="K23" s="300">
        <f>SUM(K24:K29)</f>
        <v>3603</v>
      </c>
      <c r="L23" s="300">
        <f t="shared" si="6"/>
        <v>3799</v>
      </c>
      <c r="M23" s="300">
        <f>SUM(M24:M29)</f>
        <v>241</v>
      </c>
      <c r="N23" s="300">
        <f>SUM(N24:N29)</f>
        <v>3558</v>
      </c>
      <c r="O23" s="304"/>
      <c r="P23" s="301"/>
      <c r="Q23" s="305"/>
    </row>
    <row r="24" spans="1:17" ht="15.75" thickBot="1" x14ac:dyDescent="0.3">
      <c r="A24" s="237" t="s">
        <v>604</v>
      </c>
      <c r="B24" s="238" t="s">
        <v>583</v>
      </c>
      <c r="C24" s="300">
        <f t="shared" si="0"/>
        <v>0</v>
      </c>
      <c r="D24" s="301"/>
      <c r="E24" s="301"/>
      <c r="F24" s="300">
        <f t="shared" si="1"/>
        <v>0</v>
      </c>
      <c r="G24" s="301"/>
      <c r="H24" s="301"/>
      <c r="I24" s="300">
        <f t="shared" si="3"/>
        <v>0</v>
      </c>
      <c r="J24" s="301"/>
      <c r="K24" s="301"/>
      <c r="L24" s="300">
        <f t="shared" si="6"/>
        <v>0</v>
      </c>
      <c r="M24" s="301"/>
      <c r="N24" s="301"/>
      <c r="O24" s="304"/>
      <c r="P24" s="301"/>
      <c r="Q24" s="305"/>
    </row>
    <row r="25" spans="1:17" ht="15.75" thickBot="1" x14ac:dyDescent="0.3">
      <c r="A25" s="237" t="s">
        <v>605</v>
      </c>
      <c r="B25" s="238" t="s">
        <v>585</v>
      </c>
      <c r="C25" s="300">
        <f t="shared" si="0"/>
        <v>0</v>
      </c>
      <c r="D25" s="301"/>
      <c r="E25" s="301"/>
      <c r="F25" s="300">
        <f t="shared" si="1"/>
        <v>0</v>
      </c>
      <c r="G25" s="301"/>
      <c r="H25" s="301"/>
      <c r="I25" s="300">
        <f t="shared" si="3"/>
        <v>0</v>
      </c>
      <c r="J25" s="301"/>
      <c r="K25" s="301"/>
      <c r="L25" s="300">
        <f t="shared" si="6"/>
        <v>0</v>
      </c>
      <c r="M25" s="301"/>
      <c r="N25" s="301"/>
      <c r="O25" s="304"/>
      <c r="P25" s="301"/>
      <c r="Q25" s="305"/>
    </row>
    <row r="26" spans="1:17" ht="15.75" thickBot="1" x14ac:dyDescent="0.3">
      <c r="A26" s="237" t="s">
        <v>606</v>
      </c>
      <c r="B26" s="238" t="s">
        <v>587</v>
      </c>
      <c r="C26" s="300">
        <f t="shared" si="0"/>
        <v>0</v>
      </c>
      <c r="D26" s="301"/>
      <c r="E26" s="301"/>
      <c r="F26" s="300">
        <f t="shared" si="1"/>
        <v>0</v>
      </c>
      <c r="G26" s="301"/>
      <c r="H26" s="301"/>
      <c r="I26" s="300">
        <f t="shared" si="3"/>
        <v>0</v>
      </c>
      <c r="J26" s="301"/>
      <c r="K26" s="301"/>
      <c r="L26" s="300">
        <f t="shared" si="6"/>
        <v>0</v>
      </c>
      <c r="M26" s="301"/>
      <c r="N26" s="301"/>
      <c r="O26" s="304"/>
      <c r="P26" s="301"/>
      <c r="Q26" s="305"/>
    </row>
    <row r="27" spans="1:17" ht="15.75" thickBot="1" x14ac:dyDescent="0.3">
      <c r="A27" s="237" t="s">
        <v>607</v>
      </c>
      <c r="B27" s="238" t="s">
        <v>589</v>
      </c>
      <c r="C27" s="300">
        <f t="shared" si="0"/>
        <v>119753</v>
      </c>
      <c r="D27" s="301">
        <v>109161</v>
      </c>
      <c r="E27" s="301">
        <v>10592</v>
      </c>
      <c r="F27" s="300">
        <f t="shared" si="1"/>
        <v>688</v>
      </c>
      <c r="G27" s="301">
        <v>0</v>
      </c>
      <c r="H27" s="301">
        <v>688</v>
      </c>
      <c r="I27" s="300">
        <f t="shared" si="3"/>
        <v>355</v>
      </c>
      <c r="J27" s="301">
        <v>147</v>
      </c>
      <c r="K27" s="301">
        <v>208</v>
      </c>
      <c r="L27" s="300">
        <f t="shared" si="6"/>
        <v>0</v>
      </c>
      <c r="M27" s="301">
        <v>0</v>
      </c>
      <c r="N27" s="301">
        <v>0</v>
      </c>
      <c r="O27" s="304"/>
      <c r="P27" s="301"/>
      <c r="Q27" s="305"/>
    </row>
    <row r="28" spans="1:17" ht="15.75" thickBot="1" x14ac:dyDescent="0.3">
      <c r="A28" s="237" t="s">
        <v>608</v>
      </c>
      <c r="B28" s="238" t="s">
        <v>591</v>
      </c>
      <c r="C28" s="300">
        <f t="shared" si="0"/>
        <v>508885</v>
      </c>
      <c r="D28" s="301">
        <v>434934</v>
      </c>
      <c r="E28" s="301">
        <v>73951</v>
      </c>
      <c r="F28" s="300">
        <f t="shared" si="1"/>
        <v>27938</v>
      </c>
      <c r="G28" s="301">
        <v>5262</v>
      </c>
      <c r="H28" s="301">
        <v>22676</v>
      </c>
      <c r="I28" s="300">
        <f t="shared" si="3"/>
        <v>3291</v>
      </c>
      <c r="J28" s="301">
        <v>689</v>
      </c>
      <c r="K28" s="301">
        <v>2602</v>
      </c>
      <c r="L28" s="300">
        <f t="shared" si="6"/>
        <v>1804</v>
      </c>
      <c r="M28" s="301">
        <v>58</v>
      </c>
      <c r="N28" s="301">
        <v>1746</v>
      </c>
      <c r="O28" s="304"/>
      <c r="P28" s="301"/>
      <c r="Q28" s="305"/>
    </row>
    <row r="29" spans="1:17" ht="15.75" thickBot="1" x14ac:dyDescent="0.3">
      <c r="A29" s="237" t="s">
        <v>609</v>
      </c>
      <c r="B29" s="238" t="s">
        <v>595</v>
      </c>
      <c r="C29" s="300">
        <f t="shared" si="0"/>
        <v>797674</v>
      </c>
      <c r="D29" s="301">
        <v>758194</v>
      </c>
      <c r="E29" s="301">
        <v>39480</v>
      </c>
      <c r="F29" s="300">
        <f t="shared" si="1"/>
        <v>18789</v>
      </c>
      <c r="G29" s="301">
        <v>4063</v>
      </c>
      <c r="H29" s="301">
        <v>14726</v>
      </c>
      <c r="I29" s="300">
        <f t="shared" si="3"/>
        <v>1485</v>
      </c>
      <c r="J29" s="301">
        <v>692</v>
      </c>
      <c r="K29" s="301">
        <v>793</v>
      </c>
      <c r="L29" s="300">
        <f t="shared" si="6"/>
        <v>1995</v>
      </c>
      <c r="M29" s="301">
        <v>183</v>
      </c>
      <c r="N29" s="301">
        <v>1812</v>
      </c>
      <c r="O29" s="304"/>
      <c r="P29" s="301"/>
      <c r="Q29" s="305"/>
    </row>
    <row r="30" spans="1:17" s="26" customFormat="1" ht="15.75" thickBot="1" x14ac:dyDescent="0.3">
      <c r="A30" s="242" t="s">
        <v>610</v>
      </c>
      <c r="B30" s="241" t="s">
        <v>38</v>
      </c>
      <c r="C30" s="306">
        <f>+C9+C23</f>
        <v>3173404</v>
      </c>
      <c r="D30" s="306">
        <f t="shared" ref="D30:P30" si="11">+D9+D23</f>
        <v>2548879</v>
      </c>
      <c r="E30" s="306">
        <f t="shared" si="11"/>
        <v>624525</v>
      </c>
      <c r="F30" s="306">
        <f t="shared" si="11"/>
        <v>208284</v>
      </c>
      <c r="G30" s="306">
        <f t="shared" si="11"/>
        <v>20909</v>
      </c>
      <c r="H30" s="306">
        <f t="shared" si="11"/>
        <v>187375</v>
      </c>
      <c r="I30" s="306">
        <f t="shared" si="11"/>
        <v>39138</v>
      </c>
      <c r="J30" s="306">
        <f t="shared" si="11"/>
        <v>7783</v>
      </c>
      <c r="K30" s="306">
        <f t="shared" si="11"/>
        <v>31355</v>
      </c>
      <c r="L30" s="306">
        <f t="shared" si="11"/>
        <v>69103</v>
      </c>
      <c r="M30" s="306">
        <f t="shared" si="11"/>
        <v>801</v>
      </c>
      <c r="N30" s="306">
        <f t="shared" si="11"/>
        <v>68302</v>
      </c>
      <c r="O30" s="306">
        <f t="shared" si="11"/>
        <v>0</v>
      </c>
      <c r="P30" s="306">
        <f t="shared" si="11"/>
        <v>73994</v>
      </c>
      <c r="Q30" s="305"/>
    </row>
    <row r="34" spans="3:3" x14ac:dyDescent="0.25">
      <c r="C34" s="267"/>
    </row>
    <row r="36" spans="3:3" x14ac:dyDescent="0.25">
      <c r="C36" s="267"/>
    </row>
    <row r="37" spans="3:3" x14ac:dyDescent="0.25">
      <c r="C37" s="267"/>
    </row>
  </sheetData>
  <sheetProtection algorithmName="SHA-512" hashValue="TOc52q6tyJSJrAhooRR0ifgb5CQrRArC5nwascPhxKu2JwJQc7CL+OdrP17HbvL4rWqmMSXdZKzafGjd65LR2Q==" saltValue="tP0ltbSRe/Emm4jEyyJjOA==" spinCount="100000" sheet="1" objects="1" scenarios="1"/>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7" orientation="landscape" r:id="rId1"/>
  <headerFooter>
    <oddHeader>&amp;CDA
Bilag XV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D61CD-C8D9-41CA-BC7B-2771143C5E21}">
  <sheetPr>
    <tabColor theme="0" tint="-0.14999847407452621"/>
    <pageSetUpPr fitToPage="1"/>
  </sheetPr>
  <dimension ref="B2:I9"/>
  <sheetViews>
    <sheetView workbookViewId="0"/>
  </sheetViews>
  <sheetFormatPr defaultRowHeight="15" x14ac:dyDescent="0.25"/>
  <cols>
    <col min="1" max="1" width="7.140625" customWidth="1"/>
    <col min="2" max="2" width="6.140625" customWidth="1"/>
    <col min="3" max="3" width="27" customWidth="1"/>
    <col min="4" max="4" width="18.5703125" bestFit="1" customWidth="1"/>
    <col min="5" max="5" width="10.7109375" customWidth="1"/>
    <col min="6" max="6" width="21.85546875" customWidth="1"/>
    <col min="7" max="7" width="13.140625" customWidth="1"/>
    <col min="8" max="8" width="11.42578125" customWidth="1"/>
    <col min="9" max="9" width="10.85546875" customWidth="1"/>
  </cols>
  <sheetData>
    <row r="2" spans="2:9" x14ac:dyDescent="0.25">
      <c r="B2" s="225" t="s">
        <v>556</v>
      </c>
    </row>
    <row r="3" spans="2:9" x14ac:dyDescent="0.25">
      <c r="B3" s="243"/>
    </row>
    <row r="4" spans="2:9" x14ac:dyDescent="0.25">
      <c r="B4" s="243"/>
      <c r="D4" s="188" t="s">
        <v>2</v>
      </c>
      <c r="E4" s="188" t="s">
        <v>3</v>
      </c>
      <c r="F4" s="188" t="s">
        <v>4</v>
      </c>
      <c r="G4" s="188" t="s">
        <v>100</v>
      </c>
      <c r="H4" s="188" t="s">
        <v>99</v>
      </c>
      <c r="I4" s="188" t="s">
        <v>115</v>
      </c>
    </row>
    <row r="5" spans="2:9" x14ac:dyDescent="0.25">
      <c r="D5" s="644" t="s">
        <v>611</v>
      </c>
      <c r="E5" s="644"/>
      <c r="F5" s="644"/>
      <c r="G5" s="644"/>
      <c r="H5" s="644"/>
      <c r="I5" s="644"/>
    </row>
    <row r="6" spans="2:9" ht="42" customHeight="1" x14ac:dyDescent="0.25">
      <c r="D6" s="222" t="s">
        <v>612</v>
      </c>
      <c r="E6" s="222" t="s">
        <v>613</v>
      </c>
      <c r="F6" s="222" t="s">
        <v>614</v>
      </c>
      <c r="G6" s="222" t="s">
        <v>615</v>
      </c>
      <c r="H6" s="222" t="s">
        <v>616</v>
      </c>
      <c r="I6" s="222" t="s">
        <v>38</v>
      </c>
    </row>
    <row r="7" spans="2:9" x14ac:dyDescent="0.25">
      <c r="B7" s="89">
        <v>1</v>
      </c>
      <c r="C7" s="244" t="s">
        <v>582</v>
      </c>
      <c r="D7" s="424">
        <v>6797</v>
      </c>
      <c r="E7" s="424">
        <v>653730</v>
      </c>
      <c r="F7" s="424">
        <v>569898</v>
      </c>
      <c r="G7" s="288">
        <v>588294</v>
      </c>
      <c r="H7" s="288"/>
      <c r="I7" s="288">
        <f>SUM(D7:H7)</f>
        <v>1818719</v>
      </c>
    </row>
    <row r="8" spans="2:9" x14ac:dyDescent="0.25">
      <c r="B8" s="89">
        <v>2</v>
      </c>
      <c r="C8" s="244" t="s">
        <v>597</v>
      </c>
      <c r="D8" s="423"/>
      <c r="E8" s="423"/>
      <c r="F8" s="423"/>
      <c r="G8" s="423"/>
      <c r="H8" s="423"/>
      <c r="I8" s="423"/>
    </row>
    <row r="9" spans="2:9" x14ac:dyDescent="0.25">
      <c r="B9" s="245">
        <v>3</v>
      </c>
      <c r="C9" s="246" t="s">
        <v>38</v>
      </c>
      <c r="D9" s="288">
        <f>SUM(D7:D8)</f>
        <v>6797</v>
      </c>
      <c r="E9" s="288">
        <f t="shared" ref="E9:I9" si="0">SUM(E7:E8)</f>
        <v>653730</v>
      </c>
      <c r="F9" s="288">
        <f t="shared" si="0"/>
        <v>569898</v>
      </c>
      <c r="G9" s="288">
        <f t="shared" si="0"/>
        <v>588294</v>
      </c>
      <c r="H9" s="288">
        <f t="shared" si="0"/>
        <v>0</v>
      </c>
      <c r="I9" s="288">
        <f t="shared" si="0"/>
        <v>1818719</v>
      </c>
    </row>
  </sheetData>
  <sheetProtection algorithmName="SHA-512" hashValue="ncDKunWn9u1Hy/2h09kuk/4uGfVfCGgp4bVh3adakq3faokELiGEo0iIwanZbOsMhh0s2MDp4Csa6/SmBihpJw==" saltValue="oXbuEYQbKhKVB+NXCGWlNg==" spinCount="100000" sheet="1" objects="1" scenarios="1"/>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0FBF7-F9D2-4CE2-A5AD-99AD79867D5A}">
  <sheetPr>
    <tabColor theme="0" tint="-0.14999847407452621"/>
    <pageSetUpPr fitToPage="1"/>
  </sheetPr>
  <dimension ref="A1:N33"/>
  <sheetViews>
    <sheetView workbookViewId="0"/>
  </sheetViews>
  <sheetFormatPr defaultRowHeight="15" x14ac:dyDescent="0.25"/>
  <cols>
    <col min="2" max="2" width="24.85546875" customWidth="1"/>
    <col min="7" max="7" width="11" customWidth="1"/>
  </cols>
  <sheetData>
    <row r="1" spans="1:14" x14ac:dyDescent="0.25">
      <c r="A1" s="225" t="s">
        <v>561</v>
      </c>
    </row>
    <row r="2" spans="1:14" ht="16.5" thickBot="1" x14ac:dyDescent="0.3">
      <c r="A2" s="143"/>
      <c r="B2" s="226"/>
      <c r="C2" s="226"/>
      <c r="D2" s="226"/>
      <c r="E2" s="226"/>
      <c r="F2" s="226"/>
      <c r="G2" s="226"/>
      <c r="H2" s="226"/>
      <c r="I2" s="226"/>
      <c r="J2" s="226"/>
      <c r="K2" s="226"/>
      <c r="L2" s="226"/>
      <c r="M2" s="226"/>
      <c r="N2" s="226"/>
    </row>
    <row r="3" spans="1:14" ht="16.5" thickBot="1" x14ac:dyDescent="0.3">
      <c r="A3" s="227"/>
      <c r="B3" s="227"/>
      <c r="C3" s="228" t="s">
        <v>2</v>
      </c>
      <c r="D3" s="229" t="s">
        <v>3</v>
      </c>
      <c r="E3" s="229" t="s">
        <v>4</v>
      </c>
      <c r="F3" s="229" t="s">
        <v>100</v>
      </c>
      <c r="G3" s="229" t="s">
        <v>99</v>
      </c>
      <c r="H3" s="229" t="s">
        <v>115</v>
      </c>
      <c r="I3" s="229" t="s">
        <v>116</v>
      </c>
      <c r="J3" s="229" t="s">
        <v>145</v>
      </c>
      <c r="K3" s="229" t="s">
        <v>316</v>
      </c>
      <c r="L3" s="229" t="s">
        <v>317</v>
      </c>
      <c r="M3" s="229" t="s">
        <v>318</v>
      </c>
      <c r="N3" s="229" t="s">
        <v>319</v>
      </c>
    </row>
    <row r="4" spans="1:14" ht="16.5" thickBot="1" x14ac:dyDescent="0.3">
      <c r="A4" s="227"/>
      <c r="B4" s="227"/>
      <c r="C4" s="650" t="s">
        <v>568</v>
      </c>
      <c r="D4" s="651"/>
      <c r="E4" s="651"/>
      <c r="F4" s="651"/>
      <c r="G4" s="651"/>
      <c r="H4" s="651"/>
      <c r="I4" s="651"/>
      <c r="J4" s="651"/>
      <c r="K4" s="651"/>
      <c r="L4" s="651"/>
      <c r="M4" s="651"/>
      <c r="N4" s="652"/>
    </row>
    <row r="5" spans="1:14" ht="16.5" thickBot="1" x14ac:dyDescent="0.3">
      <c r="A5" s="227"/>
      <c r="B5" s="227"/>
      <c r="C5" s="638" t="s">
        <v>572</v>
      </c>
      <c r="D5" s="639"/>
      <c r="E5" s="640"/>
      <c r="F5" s="641" t="s">
        <v>468</v>
      </c>
      <c r="G5" s="639"/>
      <c r="H5" s="639"/>
      <c r="I5" s="639"/>
      <c r="J5" s="639"/>
      <c r="K5" s="639"/>
      <c r="L5" s="639"/>
      <c r="M5" s="639"/>
      <c r="N5" s="653"/>
    </row>
    <row r="6" spans="1:14" x14ac:dyDescent="0.25">
      <c r="A6" s="645"/>
      <c r="B6" s="646"/>
      <c r="C6" s="647"/>
      <c r="D6" s="642" t="s">
        <v>618</v>
      </c>
      <c r="E6" s="642" t="s">
        <v>619</v>
      </c>
      <c r="F6" s="647"/>
      <c r="G6" s="642" t="s">
        <v>620</v>
      </c>
      <c r="H6" s="642" t="s">
        <v>621</v>
      </c>
      <c r="I6" s="642" t="s">
        <v>622</v>
      </c>
      <c r="J6" s="642" t="s">
        <v>623</v>
      </c>
      <c r="K6" s="642" t="s">
        <v>624</v>
      </c>
      <c r="L6" s="642" t="s">
        <v>625</v>
      </c>
      <c r="M6" s="642" t="s">
        <v>626</v>
      </c>
      <c r="N6" s="642" t="s">
        <v>617</v>
      </c>
    </row>
    <row r="7" spans="1:14" x14ac:dyDescent="0.25">
      <c r="A7" s="645"/>
      <c r="B7" s="646"/>
      <c r="C7" s="647"/>
      <c r="D7" s="648"/>
      <c r="E7" s="648"/>
      <c r="F7" s="647"/>
      <c r="G7" s="648"/>
      <c r="H7" s="648"/>
      <c r="I7" s="648"/>
      <c r="J7" s="648"/>
      <c r="K7" s="648"/>
      <c r="L7" s="648"/>
      <c r="M7" s="648"/>
      <c r="N7" s="648"/>
    </row>
    <row r="8" spans="1:14" ht="39" customHeight="1" thickBot="1" x14ac:dyDescent="0.3">
      <c r="A8" s="227"/>
      <c r="B8" s="227"/>
      <c r="C8" s="247"/>
      <c r="D8" s="649"/>
      <c r="E8" s="649"/>
      <c r="F8" s="654"/>
      <c r="G8" s="649"/>
      <c r="H8" s="643"/>
      <c r="I8" s="643"/>
      <c r="J8" s="643"/>
      <c r="K8" s="643"/>
      <c r="L8" s="643"/>
      <c r="M8" s="643"/>
      <c r="N8" s="643"/>
    </row>
    <row r="9" spans="1:14" ht="32.25" thickBot="1" x14ac:dyDescent="0.3">
      <c r="A9" s="234" t="s">
        <v>580</v>
      </c>
      <c r="B9" s="235" t="s">
        <v>581</v>
      </c>
      <c r="C9" s="249"/>
      <c r="D9" s="248"/>
      <c r="E9" s="248"/>
      <c r="F9" s="248"/>
      <c r="G9" s="248"/>
      <c r="H9" s="248"/>
      <c r="I9" s="248"/>
      <c r="J9" s="248"/>
      <c r="K9" s="248"/>
      <c r="L9" s="248"/>
      <c r="M9" s="248"/>
      <c r="N9" s="248"/>
    </row>
    <row r="10" spans="1:14" ht="15.75" thickBot="1" x14ac:dyDescent="0.3">
      <c r="A10" s="234" t="s">
        <v>335</v>
      </c>
      <c r="B10" s="235" t="s">
        <v>582</v>
      </c>
      <c r="C10" s="249"/>
      <c r="D10" s="248"/>
      <c r="E10" s="248"/>
      <c r="F10" s="248"/>
      <c r="G10" s="248"/>
      <c r="H10" s="248"/>
      <c r="I10" s="248"/>
      <c r="J10" s="248"/>
      <c r="K10" s="248"/>
      <c r="L10" s="248"/>
      <c r="M10" s="248"/>
      <c r="N10" s="248"/>
    </row>
    <row r="11" spans="1:14" ht="15.75" thickBot="1" x14ac:dyDescent="0.3">
      <c r="A11" s="237" t="s">
        <v>337</v>
      </c>
      <c r="B11" s="238" t="s">
        <v>583</v>
      </c>
      <c r="C11" s="249"/>
      <c r="D11" s="248"/>
      <c r="E11" s="248"/>
      <c r="F11" s="248"/>
      <c r="G11" s="248"/>
      <c r="H11" s="248"/>
      <c r="I11" s="248"/>
      <c r="J11" s="248"/>
      <c r="K11" s="248"/>
      <c r="L11" s="248"/>
      <c r="M11" s="248"/>
      <c r="N11" s="248"/>
    </row>
    <row r="12" spans="1:14" ht="15.75" thickBot="1" x14ac:dyDescent="0.3">
      <c r="A12" s="237" t="s">
        <v>584</v>
      </c>
      <c r="B12" s="238" t="s">
        <v>585</v>
      </c>
      <c r="C12" s="249"/>
      <c r="D12" s="248"/>
      <c r="E12" s="248"/>
      <c r="F12" s="248"/>
      <c r="G12" s="248"/>
      <c r="H12" s="248"/>
      <c r="I12" s="248"/>
      <c r="J12" s="248"/>
      <c r="K12" s="248"/>
      <c r="L12" s="248"/>
      <c r="M12" s="248"/>
      <c r="N12" s="248"/>
    </row>
    <row r="13" spans="1:14" ht="15.75" thickBot="1" x14ac:dyDescent="0.3">
      <c r="A13" s="237" t="s">
        <v>586</v>
      </c>
      <c r="B13" s="238" t="s">
        <v>587</v>
      </c>
      <c r="C13" s="249"/>
      <c r="D13" s="248"/>
      <c r="E13" s="248"/>
      <c r="F13" s="248"/>
      <c r="G13" s="248"/>
      <c r="H13" s="248"/>
      <c r="I13" s="248"/>
      <c r="J13" s="248"/>
      <c r="K13" s="248"/>
      <c r="L13" s="248"/>
      <c r="M13" s="248"/>
      <c r="N13" s="248"/>
    </row>
    <row r="14" spans="1:14" ht="15.75" thickBot="1" x14ac:dyDescent="0.3">
      <c r="A14" s="237" t="s">
        <v>588</v>
      </c>
      <c r="B14" s="238" t="s">
        <v>589</v>
      </c>
      <c r="C14" s="249"/>
      <c r="D14" s="248"/>
      <c r="E14" s="248"/>
      <c r="F14" s="248"/>
      <c r="G14" s="248"/>
      <c r="H14" s="248"/>
      <c r="I14" s="248"/>
      <c r="J14" s="248"/>
      <c r="K14" s="248"/>
      <c r="L14" s="248"/>
      <c r="M14" s="248"/>
      <c r="N14" s="248"/>
    </row>
    <row r="15" spans="1:14" ht="15.75" thickBot="1" x14ac:dyDescent="0.3">
      <c r="A15" s="237" t="s">
        <v>590</v>
      </c>
      <c r="B15" s="238" t="s">
        <v>591</v>
      </c>
      <c r="C15" s="249"/>
      <c r="D15" s="248"/>
      <c r="E15" s="248"/>
      <c r="F15" s="248"/>
      <c r="G15" s="248"/>
      <c r="H15" s="248"/>
      <c r="I15" s="248"/>
      <c r="J15" s="248"/>
      <c r="K15" s="248"/>
      <c r="L15" s="248"/>
      <c r="M15" s="248"/>
      <c r="N15" s="248"/>
    </row>
    <row r="16" spans="1:14" ht="15.75" thickBot="1" x14ac:dyDescent="0.3">
      <c r="A16" s="237" t="s">
        <v>592</v>
      </c>
      <c r="B16" s="238" t="s">
        <v>627</v>
      </c>
      <c r="C16" s="249"/>
      <c r="D16" s="248"/>
      <c r="E16" s="248"/>
      <c r="F16" s="248"/>
      <c r="G16" s="248"/>
      <c r="H16" s="248"/>
      <c r="I16" s="248"/>
      <c r="J16" s="248"/>
      <c r="K16" s="248"/>
      <c r="L16" s="248"/>
      <c r="M16" s="248"/>
      <c r="N16" s="248"/>
    </row>
    <row r="17" spans="1:14" ht="15.75" thickBot="1" x14ac:dyDescent="0.3">
      <c r="A17" s="237" t="s">
        <v>594</v>
      </c>
      <c r="B17" s="238" t="s">
        <v>595</v>
      </c>
      <c r="C17" s="249"/>
      <c r="D17" s="248"/>
      <c r="E17" s="248"/>
      <c r="F17" s="248"/>
      <c r="G17" s="248"/>
      <c r="H17" s="248"/>
      <c r="I17" s="248"/>
      <c r="J17" s="248"/>
      <c r="K17" s="248"/>
      <c r="L17" s="248"/>
      <c r="M17" s="248"/>
      <c r="N17" s="248"/>
    </row>
    <row r="18" spans="1:14" ht="15.75" thickBot="1" x14ac:dyDescent="0.3">
      <c r="A18" s="240" t="s">
        <v>596</v>
      </c>
      <c r="B18" s="236" t="s">
        <v>597</v>
      </c>
      <c r="C18" s="249"/>
      <c r="D18" s="248"/>
      <c r="E18" s="248"/>
      <c r="F18" s="248"/>
      <c r="G18" s="248"/>
      <c r="H18" s="248"/>
      <c r="I18" s="248"/>
      <c r="J18" s="248"/>
      <c r="K18" s="248"/>
      <c r="L18" s="248"/>
      <c r="M18" s="248"/>
      <c r="N18" s="248"/>
    </row>
    <row r="19" spans="1:14" ht="15.75" thickBot="1" x14ac:dyDescent="0.3">
      <c r="A19" s="237" t="s">
        <v>598</v>
      </c>
      <c r="B19" s="238" t="s">
        <v>583</v>
      </c>
      <c r="C19" s="249"/>
      <c r="D19" s="248"/>
      <c r="E19" s="248"/>
      <c r="F19" s="248"/>
      <c r="G19" s="248"/>
      <c r="H19" s="248"/>
      <c r="I19" s="248"/>
      <c r="J19" s="248"/>
      <c r="K19" s="248"/>
      <c r="L19" s="248"/>
      <c r="M19" s="248"/>
      <c r="N19" s="248"/>
    </row>
    <row r="20" spans="1:14" ht="15.75" thickBot="1" x14ac:dyDescent="0.3">
      <c r="A20" s="237" t="s">
        <v>599</v>
      </c>
      <c r="B20" s="238" t="s">
        <v>585</v>
      </c>
      <c r="C20" s="249"/>
      <c r="D20" s="248"/>
      <c r="E20" s="248"/>
      <c r="F20" s="248"/>
      <c r="G20" s="248"/>
      <c r="H20" s="248"/>
      <c r="I20" s="248"/>
      <c r="J20" s="248"/>
      <c r="K20" s="248"/>
      <c r="L20" s="248"/>
      <c r="M20" s="248"/>
      <c r="N20" s="248"/>
    </row>
    <row r="21" spans="1:14" ht="15.75" thickBot="1" x14ac:dyDescent="0.3">
      <c r="A21" s="237" t="s">
        <v>600</v>
      </c>
      <c r="B21" s="238" t="s">
        <v>587</v>
      </c>
      <c r="C21" s="249"/>
      <c r="D21" s="248"/>
      <c r="E21" s="248"/>
      <c r="F21" s="248"/>
      <c r="G21" s="248"/>
      <c r="H21" s="248"/>
      <c r="I21" s="248"/>
      <c r="J21" s="248"/>
      <c r="K21" s="248"/>
      <c r="L21" s="248"/>
      <c r="M21" s="248"/>
      <c r="N21" s="248"/>
    </row>
    <row r="22" spans="1:14" ht="15.75" thickBot="1" x14ac:dyDescent="0.3">
      <c r="A22" s="237" t="s">
        <v>601</v>
      </c>
      <c r="B22" s="238" t="s">
        <v>589</v>
      </c>
      <c r="C22" s="249"/>
      <c r="D22" s="248"/>
      <c r="E22" s="248"/>
      <c r="F22" s="248"/>
      <c r="G22" s="248"/>
      <c r="H22" s="248"/>
      <c r="I22" s="248"/>
      <c r="J22" s="248"/>
      <c r="K22" s="248"/>
      <c r="L22" s="248"/>
      <c r="M22" s="248"/>
      <c r="N22" s="248"/>
    </row>
    <row r="23" spans="1:14" ht="15.75" thickBot="1" x14ac:dyDescent="0.3">
      <c r="A23" s="237" t="s">
        <v>602</v>
      </c>
      <c r="B23" s="238" t="s">
        <v>591</v>
      </c>
      <c r="C23" s="249"/>
      <c r="D23" s="248"/>
      <c r="E23" s="248"/>
      <c r="F23" s="248"/>
      <c r="G23" s="248"/>
      <c r="H23" s="248"/>
      <c r="I23" s="248"/>
      <c r="J23" s="248"/>
      <c r="K23" s="248"/>
      <c r="L23" s="248"/>
      <c r="M23" s="248"/>
      <c r="N23" s="248"/>
    </row>
    <row r="24" spans="1:14" ht="15.75" thickBot="1" x14ac:dyDescent="0.3">
      <c r="A24" s="240" t="s">
        <v>603</v>
      </c>
      <c r="B24" s="236" t="s">
        <v>400</v>
      </c>
      <c r="C24" s="249"/>
      <c r="D24" s="250"/>
      <c r="E24" s="250"/>
      <c r="F24" s="248"/>
      <c r="G24" s="250"/>
      <c r="H24" s="250"/>
      <c r="I24" s="250"/>
      <c r="J24" s="250"/>
      <c r="K24" s="250"/>
      <c r="L24" s="250"/>
      <c r="M24" s="250"/>
      <c r="N24" s="248"/>
    </row>
    <row r="25" spans="1:14" ht="15.75" thickBot="1" x14ac:dyDescent="0.3">
      <c r="A25" s="237" t="s">
        <v>604</v>
      </c>
      <c r="B25" s="238" t="s">
        <v>583</v>
      </c>
      <c r="C25" s="249"/>
      <c r="D25" s="250"/>
      <c r="E25" s="250"/>
      <c r="F25" s="248"/>
      <c r="G25" s="250"/>
      <c r="H25" s="250"/>
      <c r="I25" s="250"/>
      <c r="J25" s="250"/>
      <c r="K25" s="250"/>
      <c r="L25" s="250"/>
      <c r="M25" s="250"/>
      <c r="N25" s="248"/>
    </row>
    <row r="26" spans="1:14" ht="15.75" thickBot="1" x14ac:dyDescent="0.3">
      <c r="A26" s="237" t="s">
        <v>605</v>
      </c>
      <c r="B26" s="238" t="s">
        <v>585</v>
      </c>
      <c r="C26" s="249"/>
      <c r="D26" s="250"/>
      <c r="E26" s="250"/>
      <c r="F26" s="248"/>
      <c r="G26" s="250"/>
      <c r="H26" s="250"/>
      <c r="I26" s="250"/>
      <c r="J26" s="250"/>
      <c r="K26" s="250"/>
      <c r="L26" s="250"/>
      <c r="M26" s="250"/>
      <c r="N26" s="248"/>
    </row>
    <row r="27" spans="1:14" ht="15.75" thickBot="1" x14ac:dyDescent="0.3">
      <c r="A27" s="237" t="s">
        <v>606</v>
      </c>
      <c r="B27" s="238" t="s">
        <v>587</v>
      </c>
      <c r="C27" s="249"/>
      <c r="D27" s="250"/>
      <c r="E27" s="250"/>
      <c r="F27" s="248"/>
      <c r="G27" s="250"/>
      <c r="H27" s="250"/>
      <c r="I27" s="250"/>
      <c r="J27" s="250"/>
      <c r="K27" s="250"/>
      <c r="L27" s="250"/>
      <c r="M27" s="250"/>
      <c r="N27" s="248"/>
    </row>
    <row r="28" spans="1:14" ht="15.75" thickBot="1" x14ac:dyDescent="0.3">
      <c r="A28" s="237" t="s">
        <v>607</v>
      </c>
      <c r="B28" s="238" t="s">
        <v>589</v>
      </c>
      <c r="C28" s="249"/>
      <c r="D28" s="250"/>
      <c r="E28" s="250"/>
      <c r="F28" s="248"/>
      <c r="G28" s="250"/>
      <c r="H28" s="250"/>
      <c r="I28" s="250"/>
      <c r="J28" s="250"/>
      <c r="K28" s="250"/>
      <c r="L28" s="250"/>
      <c r="M28" s="250"/>
      <c r="N28" s="248"/>
    </row>
    <row r="29" spans="1:14" ht="15.75" thickBot="1" x14ac:dyDescent="0.3">
      <c r="A29" s="237" t="s">
        <v>608</v>
      </c>
      <c r="B29" s="238" t="s">
        <v>591</v>
      </c>
      <c r="C29" s="249"/>
      <c r="D29" s="250"/>
      <c r="E29" s="250"/>
      <c r="F29" s="248"/>
      <c r="G29" s="250"/>
      <c r="H29" s="250"/>
      <c r="I29" s="250"/>
      <c r="J29" s="250"/>
      <c r="K29" s="250"/>
      <c r="L29" s="250"/>
      <c r="M29" s="250"/>
      <c r="N29" s="248"/>
    </row>
    <row r="30" spans="1:14" ht="15.75" thickBot="1" x14ac:dyDescent="0.3">
      <c r="A30" s="237" t="s">
        <v>609</v>
      </c>
      <c r="B30" s="238" t="s">
        <v>595</v>
      </c>
      <c r="C30" s="249"/>
      <c r="D30" s="250"/>
      <c r="E30" s="250"/>
      <c r="F30" s="248"/>
      <c r="G30" s="250"/>
      <c r="H30" s="250"/>
      <c r="I30" s="250"/>
      <c r="J30" s="250"/>
      <c r="K30" s="250"/>
      <c r="L30" s="250"/>
      <c r="M30" s="250"/>
      <c r="N30" s="248"/>
    </row>
    <row r="31" spans="1:14" ht="15.75" thickBot="1" x14ac:dyDescent="0.3">
      <c r="A31" s="242" t="s">
        <v>610</v>
      </c>
      <c r="B31" s="241" t="s">
        <v>38</v>
      </c>
      <c r="C31" s="249"/>
      <c r="D31" s="248"/>
      <c r="E31" s="248"/>
      <c r="F31" s="248"/>
      <c r="G31" s="248"/>
      <c r="H31" s="248"/>
      <c r="I31" s="248"/>
      <c r="J31" s="248"/>
      <c r="K31" s="248"/>
      <c r="L31" s="248"/>
      <c r="M31" s="248"/>
      <c r="N31" s="248"/>
    </row>
    <row r="33" spans="1:1" x14ac:dyDescent="0.25">
      <c r="A33" s="489" t="s">
        <v>848</v>
      </c>
    </row>
  </sheetData>
  <sheetProtection algorithmName="SHA-512" hashValue="citDcif+FyvcaQT9bUeAXo5yLQteISxVSvNpamhkuZXO8yTXqILhp/owAD5Eqkx1ox9rIaIcolPJIwWX116yzQ==" saltValue="yhfDcwlo+gef3m9t79D5ew==" spinCount="100000" sheet="1" objects="1" scenarios="1"/>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ageMargins left="0.70866141732283472" right="0.70866141732283472" top="0.74803149606299213" bottom="0.74803149606299213" header="0.31496062992125984" footer="0.31496062992125984"/>
  <pageSetup paperSize="9" scale="89" fitToHeight="0" orientation="landscape" r:id="rId1"/>
  <headerFooter>
    <oddHeader>&amp;CDA
Bilag XV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3FDA-319E-4027-9469-33CC55FED03E}">
  <sheetPr>
    <tabColor theme="0" tint="-0.14999847407452621"/>
    <pageSetUpPr fitToPage="1"/>
  </sheetPr>
  <dimension ref="B2:I28"/>
  <sheetViews>
    <sheetView workbookViewId="0"/>
  </sheetViews>
  <sheetFormatPr defaultRowHeight="15" x14ac:dyDescent="0.25"/>
  <cols>
    <col min="2" max="2" width="4.7109375" customWidth="1"/>
    <col min="3" max="3" width="25" customWidth="1"/>
    <col min="4" max="8" width="14.42578125" customWidth="1"/>
    <col min="9" max="9" width="17.7109375" customWidth="1"/>
  </cols>
  <sheetData>
    <row r="2" spans="2:9" x14ac:dyDescent="0.25">
      <c r="B2" s="225" t="s">
        <v>632</v>
      </c>
    </row>
    <row r="3" spans="2:9" ht="16.5" thickBot="1" x14ac:dyDescent="0.3">
      <c r="B3" s="143"/>
      <c r="C3" s="226"/>
      <c r="D3" s="226"/>
      <c r="E3" s="655"/>
      <c r="F3" s="655"/>
      <c r="G3" s="226"/>
      <c r="H3" s="226"/>
      <c r="I3" s="226"/>
    </row>
    <row r="4" spans="2:9" ht="16.5" thickBot="1" x14ac:dyDescent="0.3">
      <c r="B4" s="227"/>
      <c r="C4" s="227"/>
      <c r="D4" s="228" t="s">
        <v>2</v>
      </c>
      <c r="E4" s="229" t="s">
        <v>3</v>
      </c>
      <c r="F4" s="229" t="s">
        <v>4</v>
      </c>
      <c r="G4" s="229" t="s">
        <v>100</v>
      </c>
      <c r="H4" s="229" t="s">
        <v>99</v>
      </c>
      <c r="I4" s="229" t="s">
        <v>115</v>
      </c>
    </row>
    <row r="5" spans="2:9" ht="19.5" customHeight="1" thickBot="1" x14ac:dyDescent="0.3">
      <c r="B5" s="227"/>
      <c r="C5" s="227"/>
      <c r="D5" s="638" t="s">
        <v>633</v>
      </c>
      <c r="E5" s="639"/>
      <c r="F5" s="639"/>
      <c r="G5" s="640"/>
      <c r="H5" s="653" t="s">
        <v>628</v>
      </c>
      <c r="I5" s="642" t="s">
        <v>629</v>
      </c>
    </row>
    <row r="6" spans="2:9" ht="49.5" customHeight="1" thickBot="1" x14ac:dyDescent="0.3">
      <c r="B6" s="251"/>
      <c r="C6" s="251"/>
      <c r="D6" s="253"/>
      <c r="E6" s="638" t="s">
        <v>630</v>
      </c>
      <c r="F6" s="653"/>
      <c r="G6" s="233" t="s">
        <v>634</v>
      </c>
      <c r="H6" s="656"/>
      <c r="I6" s="648"/>
    </row>
    <row r="7" spans="2:9" ht="15.75" x14ac:dyDescent="0.25">
      <c r="B7" s="227"/>
      <c r="C7" s="227"/>
      <c r="D7" s="252"/>
      <c r="E7" s="658"/>
      <c r="F7" s="642" t="s">
        <v>617</v>
      </c>
      <c r="G7" s="658"/>
      <c r="H7" s="656"/>
      <c r="I7" s="648"/>
    </row>
    <row r="8" spans="2:9" ht="16.5" thickBot="1" x14ac:dyDescent="0.3">
      <c r="B8" s="227"/>
      <c r="C8" s="227"/>
      <c r="D8" s="254"/>
      <c r="E8" s="659"/>
      <c r="F8" s="649"/>
      <c r="G8" s="660"/>
      <c r="H8" s="657"/>
      <c r="I8" s="643"/>
    </row>
    <row r="9" spans="2:9" ht="15.75" thickBot="1" x14ac:dyDescent="0.3">
      <c r="B9" s="234" t="s">
        <v>335</v>
      </c>
      <c r="C9" s="235" t="s">
        <v>635</v>
      </c>
      <c r="D9" s="301">
        <f>1384+94220</f>
        <v>95604</v>
      </c>
      <c r="E9" s="301">
        <v>30388</v>
      </c>
      <c r="F9" s="301">
        <f>+E9</f>
        <v>30388</v>
      </c>
      <c r="G9" s="301">
        <f>+D9</f>
        <v>95604</v>
      </c>
      <c r="H9" s="301">
        <f>818+15176</f>
        <v>15994</v>
      </c>
      <c r="I9" s="301"/>
    </row>
    <row r="10" spans="2:9" ht="15.75" thickBot="1" x14ac:dyDescent="0.3">
      <c r="B10" s="255" t="s">
        <v>337</v>
      </c>
      <c r="C10" s="236" t="s">
        <v>636</v>
      </c>
      <c r="D10" s="301"/>
      <c r="E10" s="301"/>
      <c r="F10" s="301"/>
      <c r="G10" s="301"/>
      <c r="H10" s="301"/>
      <c r="I10" s="301"/>
    </row>
    <row r="11" spans="2:9" ht="15.75" thickBot="1" x14ac:dyDescent="0.3">
      <c r="B11" s="255" t="s">
        <v>584</v>
      </c>
      <c r="C11" s="236" t="s">
        <v>637</v>
      </c>
      <c r="D11" s="301">
        <v>61230</v>
      </c>
      <c r="E11" s="301">
        <v>12401</v>
      </c>
      <c r="F11" s="301">
        <f>+E11</f>
        <v>12401</v>
      </c>
      <c r="G11" s="301">
        <f>+D11</f>
        <v>61230</v>
      </c>
      <c r="H11" s="301">
        <v>6350</v>
      </c>
      <c r="I11" s="301"/>
    </row>
    <row r="12" spans="2:9" ht="15.75" thickBot="1" x14ac:dyDescent="0.3">
      <c r="B12" s="255" t="s">
        <v>586</v>
      </c>
      <c r="C12" s="236" t="s">
        <v>638</v>
      </c>
      <c r="D12" s="301">
        <v>13551</v>
      </c>
      <c r="E12" s="301"/>
      <c r="F12" s="301"/>
      <c r="G12" s="301">
        <f>+D12</f>
        <v>13551</v>
      </c>
      <c r="H12" s="301">
        <v>28</v>
      </c>
      <c r="I12" s="301"/>
    </row>
    <row r="13" spans="2:9" ht="15.75" thickBot="1" x14ac:dyDescent="0.3">
      <c r="B13" s="255" t="s">
        <v>588</v>
      </c>
      <c r="C13" s="236" t="s">
        <v>639</v>
      </c>
      <c r="D13" s="301"/>
      <c r="E13" s="301"/>
      <c r="F13" s="301"/>
      <c r="G13" s="301"/>
      <c r="H13" s="301"/>
      <c r="I13" s="301"/>
    </row>
    <row r="14" spans="2:9" ht="15.75" thickBot="1" x14ac:dyDescent="0.3">
      <c r="B14" s="255" t="s">
        <v>590</v>
      </c>
      <c r="C14" s="236" t="s">
        <v>640</v>
      </c>
      <c r="D14" s="301">
        <f>193+7589+107731</f>
        <v>115513</v>
      </c>
      <c r="E14" s="301">
        <f>193+16157</f>
        <v>16350</v>
      </c>
      <c r="F14" s="301">
        <f>+E14</f>
        <v>16350</v>
      </c>
      <c r="G14" s="301">
        <f t="shared" ref="G14:G18" si="0">+D14</f>
        <v>115513</v>
      </c>
      <c r="H14" s="301">
        <f>190+40+4466</f>
        <v>4696</v>
      </c>
      <c r="I14" s="301"/>
    </row>
    <row r="15" spans="2:9" ht="15.75" thickBot="1" x14ac:dyDescent="0.3">
      <c r="B15" s="255" t="s">
        <v>592</v>
      </c>
      <c r="C15" s="236" t="s">
        <v>641</v>
      </c>
      <c r="D15" s="301">
        <v>155275</v>
      </c>
      <c r="E15" s="301">
        <v>18160</v>
      </c>
      <c r="F15" s="301">
        <f>+E15</f>
        <v>18160</v>
      </c>
      <c r="G15" s="301">
        <f t="shared" si="0"/>
        <v>155275</v>
      </c>
      <c r="H15" s="301">
        <v>8995</v>
      </c>
      <c r="I15" s="301"/>
    </row>
    <row r="16" spans="2:9" ht="15.75" thickBot="1" x14ac:dyDescent="0.3">
      <c r="B16" s="255" t="s">
        <v>594</v>
      </c>
      <c r="C16" s="236" t="s">
        <v>642</v>
      </c>
      <c r="D16" s="301">
        <v>341184</v>
      </c>
      <c r="E16" s="301">
        <v>16681</v>
      </c>
      <c r="F16" s="301">
        <f>+E16</f>
        <v>16681</v>
      </c>
      <c r="G16" s="301">
        <f t="shared" si="0"/>
        <v>341184</v>
      </c>
      <c r="H16" s="301">
        <v>5817</v>
      </c>
      <c r="I16" s="301"/>
    </row>
    <row r="17" spans="2:9" ht="21.75" thickBot="1" x14ac:dyDescent="0.3">
      <c r="B17" s="240" t="s">
        <v>596</v>
      </c>
      <c r="C17" s="236" t="s">
        <v>643</v>
      </c>
      <c r="D17" s="301">
        <v>23342</v>
      </c>
      <c r="E17" s="301">
        <v>640</v>
      </c>
      <c r="F17" s="301">
        <f>+E17</f>
        <v>640</v>
      </c>
      <c r="G17" s="301">
        <f t="shared" si="0"/>
        <v>23342</v>
      </c>
      <c r="H17" s="301">
        <v>1032</v>
      </c>
      <c r="I17" s="301"/>
    </row>
    <row r="18" spans="2:9" ht="15.75" thickBot="1" x14ac:dyDescent="0.3">
      <c r="B18" s="255" t="s">
        <v>598</v>
      </c>
      <c r="C18" s="236" t="s">
        <v>644</v>
      </c>
      <c r="D18" s="301">
        <v>5544</v>
      </c>
      <c r="E18" s="301">
        <v>3419</v>
      </c>
      <c r="F18" s="301">
        <f>+E18</f>
        <v>3419</v>
      </c>
      <c r="G18" s="301">
        <f t="shared" si="0"/>
        <v>5544</v>
      </c>
      <c r="H18" s="301">
        <v>2137</v>
      </c>
      <c r="I18" s="301"/>
    </row>
    <row r="19" spans="2:9" ht="21.75" thickBot="1" x14ac:dyDescent="0.3">
      <c r="B19" s="255" t="s">
        <v>599</v>
      </c>
      <c r="C19" s="236" t="s">
        <v>645</v>
      </c>
      <c r="D19" s="301"/>
      <c r="E19" s="425"/>
      <c r="F19" s="300"/>
      <c r="G19" s="301"/>
      <c r="H19" s="301"/>
      <c r="I19" s="301"/>
    </row>
    <row r="20" spans="2:9" ht="21.75" thickBot="1" x14ac:dyDescent="0.3">
      <c r="B20" s="255" t="s">
        <v>600</v>
      </c>
      <c r="C20" s="236" t="s">
        <v>646</v>
      </c>
      <c r="D20" s="301">
        <f>61245+136018</f>
        <v>197263</v>
      </c>
      <c r="E20" s="301">
        <v>16931</v>
      </c>
      <c r="F20" s="301">
        <f>+E20</f>
        <v>16931</v>
      </c>
      <c r="G20" s="301">
        <f>+D20</f>
        <v>197263</v>
      </c>
      <c r="H20" s="301">
        <f>745+7387</f>
        <v>8132</v>
      </c>
      <c r="I20" s="301"/>
    </row>
    <row r="21" spans="2:9" ht="21.75" thickBot="1" x14ac:dyDescent="0.3">
      <c r="B21" s="255" t="s">
        <v>601</v>
      </c>
      <c r="C21" s="236" t="s">
        <v>647</v>
      </c>
      <c r="D21" s="301">
        <v>884</v>
      </c>
      <c r="E21" s="301"/>
      <c r="F21" s="301"/>
      <c r="G21" s="301">
        <f>+D21</f>
        <v>884</v>
      </c>
      <c r="H21" s="301">
        <v>38</v>
      </c>
      <c r="I21" s="301"/>
    </row>
    <row r="22" spans="2:9" ht="21.75" thickBot="1" x14ac:dyDescent="0.3">
      <c r="B22" s="255" t="s">
        <v>602</v>
      </c>
      <c r="C22" s="236" t="s">
        <v>648</v>
      </c>
      <c r="D22" s="301"/>
      <c r="E22" s="301"/>
      <c r="F22" s="301"/>
      <c r="G22" s="301"/>
      <c r="H22" s="301"/>
      <c r="I22" s="301"/>
    </row>
    <row r="23" spans="2:9" ht="21.75" thickBot="1" x14ac:dyDescent="0.3">
      <c r="B23" s="240" t="s">
        <v>603</v>
      </c>
      <c r="C23" s="236" t="s">
        <v>649</v>
      </c>
      <c r="D23" s="301"/>
      <c r="E23" s="301"/>
      <c r="F23" s="301"/>
      <c r="G23" s="301"/>
      <c r="H23" s="301"/>
      <c r="I23" s="301"/>
    </row>
    <row r="24" spans="2:9" ht="15.75" thickBot="1" x14ac:dyDescent="0.3">
      <c r="B24" s="255" t="s">
        <v>604</v>
      </c>
      <c r="C24" s="236" t="s">
        <v>650</v>
      </c>
      <c r="D24" s="301"/>
      <c r="E24" s="301"/>
      <c r="F24" s="301"/>
      <c r="G24" s="301"/>
      <c r="H24" s="301"/>
      <c r="I24" s="301"/>
    </row>
    <row r="25" spans="2:9" ht="21.75" thickBot="1" x14ac:dyDescent="0.3">
      <c r="B25" s="255" t="s">
        <v>605</v>
      </c>
      <c r="C25" s="236" t="s">
        <v>651</v>
      </c>
      <c r="D25" s="301"/>
      <c r="E25" s="301"/>
      <c r="F25" s="301"/>
      <c r="G25" s="301"/>
      <c r="H25" s="301"/>
      <c r="I25" s="301"/>
    </row>
    <row r="26" spans="2:9" ht="15.75" thickBot="1" x14ac:dyDescent="0.3">
      <c r="B26" s="255" t="s">
        <v>606</v>
      </c>
      <c r="C26" s="236" t="s">
        <v>652</v>
      </c>
      <c r="D26" s="301"/>
      <c r="E26" s="301"/>
      <c r="F26" s="301"/>
      <c r="G26" s="301"/>
      <c r="H26" s="301"/>
      <c r="I26" s="301"/>
    </row>
    <row r="27" spans="2:9" ht="15.75" thickBot="1" x14ac:dyDescent="0.3">
      <c r="B27" s="255" t="s">
        <v>607</v>
      </c>
      <c r="C27" s="236" t="s">
        <v>653</v>
      </c>
      <c r="D27" s="301">
        <f>131667+2043</f>
        <v>133710</v>
      </c>
      <c r="E27" s="301">
        <f>1784+353</f>
        <v>2137</v>
      </c>
      <c r="F27" s="301">
        <f>+E27</f>
        <v>2137</v>
      </c>
      <c r="G27" s="301">
        <f>+D27</f>
        <v>133710</v>
      </c>
      <c r="H27" s="301">
        <f>8060+16</f>
        <v>8076</v>
      </c>
      <c r="I27" s="301"/>
    </row>
    <row r="28" spans="2:9" ht="15.75" thickBot="1" x14ac:dyDescent="0.3">
      <c r="B28" s="256" t="s">
        <v>608</v>
      </c>
      <c r="C28" s="241" t="s">
        <v>38</v>
      </c>
      <c r="D28" s="426">
        <f>SUM(D9:D27)</f>
        <v>1143100</v>
      </c>
      <c r="E28" s="426">
        <f>SUM(E9:E27)</f>
        <v>117107</v>
      </c>
      <c r="F28" s="426">
        <f>SUM(F9:F27)</f>
        <v>117107</v>
      </c>
      <c r="G28" s="426">
        <f>SUM(G9:G27)</f>
        <v>1143100</v>
      </c>
      <c r="H28" s="426">
        <f>SUM(H9:H27)</f>
        <v>61295</v>
      </c>
      <c r="I28" s="426"/>
    </row>
  </sheetData>
  <sheetProtection algorithmName="SHA-512" hashValue="0a4VUIbVWBlCopCR42MtI0lC3MDJ0hyySHh4b+odOqd2vIJ3/cpdTARkTweq7SI+AFrBiamHIpYpT7FmQ8y0HA==" saltValue="KdhI21UnIvPkfuBiBeYXcw==" spinCount="100000" sheet="1" objects="1" scenarios="1"/>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6" fitToWidth="0" orientation="landscape" r:id="rId1"/>
  <headerFooter>
    <oddHeader>&amp;CDA
Bilag XV</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9A5F7-50AE-4D72-8FA3-3B7DCCB634AC}">
  <sheetPr>
    <tabColor theme="0" tint="-0.14999847407452621"/>
    <pageSetUpPr fitToPage="1"/>
  </sheetPr>
  <dimension ref="A2:P76"/>
  <sheetViews>
    <sheetView workbookViewId="0">
      <selection activeCell="C30" sqref="C30"/>
    </sheetView>
  </sheetViews>
  <sheetFormatPr defaultRowHeight="15" x14ac:dyDescent="0.25"/>
  <cols>
    <col min="1" max="1" width="180" bestFit="1" customWidth="1"/>
    <col min="2" max="2" width="3.85546875" customWidth="1"/>
  </cols>
  <sheetData>
    <row r="2" spans="1:3" ht="26.25" x14ac:dyDescent="0.4">
      <c r="A2" s="29" t="s">
        <v>912</v>
      </c>
    </row>
    <row r="3" spans="1:3" x14ac:dyDescent="0.25">
      <c r="A3" s="28" t="s">
        <v>102</v>
      </c>
    </row>
    <row r="5" spans="1:3" x14ac:dyDescent="0.25">
      <c r="C5" s="26" t="s">
        <v>868</v>
      </c>
    </row>
    <row r="6" spans="1:3" x14ac:dyDescent="0.25">
      <c r="A6" s="438" t="s">
        <v>849</v>
      </c>
      <c r="C6" s="490" t="s">
        <v>863</v>
      </c>
    </row>
    <row r="7" spans="1:3" x14ac:dyDescent="0.25">
      <c r="A7" s="439" t="s">
        <v>850</v>
      </c>
      <c r="C7" s="490" t="s">
        <v>869</v>
      </c>
    </row>
    <row r="8" spans="1:3" x14ac:dyDescent="0.25">
      <c r="A8" s="441" t="s">
        <v>851</v>
      </c>
      <c r="C8" s="492" t="s">
        <v>870</v>
      </c>
    </row>
    <row r="9" spans="1:3" x14ac:dyDescent="0.25">
      <c r="A9" s="441" t="s">
        <v>852</v>
      </c>
      <c r="C9" s="492" t="s">
        <v>871</v>
      </c>
    </row>
    <row r="10" spans="1:3" x14ac:dyDescent="0.25">
      <c r="A10" s="441" t="s">
        <v>854</v>
      </c>
      <c r="C10" s="492" t="s">
        <v>872</v>
      </c>
    </row>
    <row r="11" spans="1:3" x14ac:dyDescent="0.25">
      <c r="A11" s="439" t="s">
        <v>853</v>
      </c>
      <c r="C11" s="490" t="s">
        <v>873</v>
      </c>
    </row>
    <row r="12" spans="1:3" x14ac:dyDescent="0.25">
      <c r="A12" s="261" t="s">
        <v>660</v>
      </c>
      <c r="C12" s="490" t="s">
        <v>874</v>
      </c>
    </row>
    <row r="13" spans="1:3" x14ac:dyDescent="0.25">
      <c r="A13" s="261" t="s">
        <v>661</v>
      </c>
      <c r="C13" s="490" t="s">
        <v>875</v>
      </c>
    </row>
    <row r="14" spans="1:3" x14ac:dyDescent="0.25">
      <c r="A14" s="461" t="s">
        <v>855</v>
      </c>
      <c r="C14" s="490" t="s">
        <v>876</v>
      </c>
    </row>
    <row r="15" spans="1:3" x14ac:dyDescent="0.25">
      <c r="A15" s="461" t="s">
        <v>856</v>
      </c>
      <c r="C15" s="490" t="s">
        <v>877</v>
      </c>
    </row>
    <row r="16" spans="1:3" ht="15" customHeight="1" x14ac:dyDescent="0.25">
      <c r="A16" s="462" t="s">
        <v>857</v>
      </c>
      <c r="B16" s="298"/>
      <c r="C16" s="493" t="s">
        <v>878</v>
      </c>
    </row>
    <row r="17" spans="1:3" ht="15" customHeight="1" x14ac:dyDescent="0.25">
      <c r="A17" s="463" t="s">
        <v>858</v>
      </c>
      <c r="B17" s="298"/>
      <c r="C17" s="492" t="s">
        <v>879</v>
      </c>
    </row>
    <row r="18" spans="1:3" x14ac:dyDescent="0.25">
      <c r="A18" s="463" t="s">
        <v>893</v>
      </c>
      <c r="C18" s="492" t="s">
        <v>880</v>
      </c>
    </row>
    <row r="19" spans="1:3" x14ac:dyDescent="0.25">
      <c r="A19" s="441" t="s">
        <v>894</v>
      </c>
      <c r="C19" s="492" t="s">
        <v>881</v>
      </c>
    </row>
    <row r="20" spans="1:3" x14ac:dyDescent="0.25">
      <c r="A20" s="441" t="s">
        <v>895</v>
      </c>
      <c r="C20" s="492" t="s">
        <v>882</v>
      </c>
    </row>
    <row r="21" spans="1:3" x14ac:dyDescent="0.25">
      <c r="A21" s="441" t="s">
        <v>896</v>
      </c>
      <c r="C21" s="492" t="s">
        <v>883</v>
      </c>
    </row>
    <row r="22" spans="1:3" x14ac:dyDescent="0.25">
      <c r="A22" s="441" t="s">
        <v>897</v>
      </c>
      <c r="C22" s="492" t="s">
        <v>884</v>
      </c>
    </row>
    <row r="23" spans="1:3" s="307" customFormat="1" x14ac:dyDescent="0.25">
      <c r="A23" s="464" t="s">
        <v>859</v>
      </c>
      <c r="C23" s="494" t="s">
        <v>885</v>
      </c>
    </row>
    <row r="24" spans="1:3" s="307" customFormat="1" x14ac:dyDescent="0.25">
      <c r="A24" s="439" t="s">
        <v>860</v>
      </c>
      <c r="C24" s="490" t="s">
        <v>886</v>
      </c>
    </row>
    <row r="25" spans="1:3" s="307" customFormat="1" x14ac:dyDescent="0.25">
      <c r="A25" s="439" t="s">
        <v>861</v>
      </c>
      <c r="C25" s="490" t="s">
        <v>887</v>
      </c>
    </row>
    <row r="26" spans="1:3" s="307" customFormat="1" x14ac:dyDescent="0.25">
      <c r="A26" s="463" t="s">
        <v>862</v>
      </c>
      <c r="C26" s="492" t="s">
        <v>888</v>
      </c>
    </row>
    <row r="27" spans="1:3" s="307" customFormat="1" x14ac:dyDescent="0.25">
      <c r="A27" s="465" t="s">
        <v>864</v>
      </c>
      <c r="C27" s="493" t="s">
        <v>889</v>
      </c>
    </row>
    <row r="28" spans="1:3" x14ac:dyDescent="0.25">
      <c r="A28" s="438" t="s">
        <v>865</v>
      </c>
      <c r="C28" s="490" t="s">
        <v>890</v>
      </c>
    </row>
    <row r="29" spans="1:3" x14ac:dyDescent="0.25">
      <c r="A29" s="438" t="s">
        <v>866</v>
      </c>
      <c r="C29" s="490" t="s">
        <v>891</v>
      </c>
    </row>
    <row r="30" spans="1:3" x14ac:dyDescent="0.25">
      <c r="A30" s="456" t="s">
        <v>867</v>
      </c>
      <c r="C30" s="495" t="s">
        <v>892</v>
      </c>
    </row>
    <row r="33" spans="1:16" x14ac:dyDescent="0.25">
      <c r="A33" s="26" t="s">
        <v>825</v>
      </c>
    </row>
    <row r="34" spans="1:16" s="307" customFormat="1" x14ac:dyDescent="0.25">
      <c r="A34" s="307" t="s">
        <v>662</v>
      </c>
    </row>
    <row r="35" spans="1:16" s="307" customFormat="1" x14ac:dyDescent="0.25">
      <c r="A35" s="307" t="s">
        <v>663</v>
      </c>
    </row>
    <row r="36" spans="1:16" s="307" customFormat="1" x14ac:dyDescent="0.25">
      <c r="A36" s="307" t="s">
        <v>823</v>
      </c>
    </row>
    <row r="37" spans="1:16" s="307" customFormat="1" x14ac:dyDescent="0.25">
      <c r="A37" s="491" t="s">
        <v>179</v>
      </c>
    </row>
    <row r="38" spans="1:16" x14ac:dyDescent="0.25">
      <c r="A38" s="261" t="s">
        <v>830</v>
      </c>
    </row>
    <row r="39" spans="1:16" s="307" customFormat="1" x14ac:dyDescent="0.25">
      <c r="A39" s="299" t="s">
        <v>557</v>
      </c>
    </row>
    <row r="40" spans="1:16" s="307" customFormat="1" x14ac:dyDescent="0.25">
      <c r="A40" s="299" t="s">
        <v>558</v>
      </c>
    </row>
    <row r="41" spans="1:16" s="307" customFormat="1" x14ac:dyDescent="0.25">
      <c r="A41" s="299" t="s">
        <v>559</v>
      </c>
    </row>
    <row r="42" spans="1:16" s="307" customFormat="1" x14ac:dyDescent="0.25">
      <c r="A42" s="299" t="s">
        <v>560</v>
      </c>
    </row>
    <row r="43" spans="1:16" s="307" customFormat="1" x14ac:dyDescent="0.25">
      <c r="A43" s="299" t="s">
        <v>822</v>
      </c>
    </row>
    <row r="44" spans="1:16" s="307" customFormat="1" x14ac:dyDescent="0.25">
      <c r="A44" s="299" t="s">
        <v>562</v>
      </c>
    </row>
    <row r="45" spans="1:16" s="307" customFormat="1" x14ac:dyDescent="0.25">
      <c r="A45" s="299" t="s">
        <v>563</v>
      </c>
    </row>
    <row r="46" spans="1:16" s="307" customFormat="1" x14ac:dyDescent="0.25">
      <c r="A46" s="299" t="s">
        <v>564</v>
      </c>
    </row>
    <row r="47" spans="1:16" s="307" customFormat="1" x14ac:dyDescent="0.25">
      <c r="A47" s="439" t="s">
        <v>809</v>
      </c>
      <c r="B47" s="439"/>
      <c r="C47" s="439"/>
      <c r="D47" s="439"/>
      <c r="E47" s="439"/>
      <c r="F47" s="439"/>
      <c r="G47" s="439"/>
      <c r="H47" s="439"/>
      <c r="I47" s="439"/>
      <c r="J47" s="439"/>
      <c r="K47" s="439"/>
      <c r="L47" s="439"/>
      <c r="M47" s="439"/>
      <c r="N47" s="439"/>
      <c r="O47" s="439"/>
      <c r="P47" s="439"/>
    </row>
    <row r="48" spans="1:16" s="307" customFormat="1" x14ac:dyDescent="0.25">
      <c r="A48" s="438" t="s">
        <v>810</v>
      </c>
      <c r="B48" s="439"/>
      <c r="C48" s="439"/>
      <c r="D48" s="439"/>
      <c r="E48" s="439"/>
      <c r="F48" s="439"/>
      <c r="G48" s="439"/>
      <c r="H48" s="439"/>
      <c r="I48" s="439"/>
      <c r="J48" s="439"/>
      <c r="K48" s="439"/>
      <c r="L48" s="439"/>
      <c r="M48" s="439"/>
      <c r="N48" s="439"/>
      <c r="O48" s="439"/>
      <c r="P48" s="439"/>
    </row>
    <row r="49" spans="1:16" s="307" customFormat="1" x14ac:dyDescent="0.25">
      <c r="A49" s="439" t="s">
        <v>811</v>
      </c>
      <c r="B49" s="439"/>
      <c r="C49" s="439"/>
      <c r="D49" s="439"/>
      <c r="E49" s="439"/>
      <c r="F49" s="439"/>
      <c r="G49" s="439"/>
      <c r="H49" s="439"/>
      <c r="I49" s="439"/>
      <c r="J49" s="439"/>
      <c r="K49" s="439"/>
      <c r="L49" s="439"/>
      <c r="M49" s="439"/>
      <c r="N49" s="439"/>
      <c r="O49" s="439"/>
      <c r="P49" s="439"/>
    </row>
    <row r="50" spans="1:16" s="307" customFormat="1" x14ac:dyDescent="0.25">
      <c r="A50" s="439" t="s">
        <v>812</v>
      </c>
      <c r="B50" s="439"/>
      <c r="C50" s="439"/>
      <c r="D50" s="439"/>
      <c r="E50" s="439"/>
      <c r="F50" s="439"/>
      <c r="G50" s="439"/>
      <c r="H50" s="439"/>
      <c r="I50" s="439"/>
      <c r="J50" s="439"/>
      <c r="K50" s="439"/>
      <c r="L50" s="439"/>
      <c r="M50" s="439"/>
      <c r="N50" s="439"/>
      <c r="O50" s="439"/>
      <c r="P50" s="439"/>
    </row>
    <row r="51" spans="1:16" s="307" customFormat="1" x14ac:dyDescent="0.25">
      <c r="A51" s="439" t="s">
        <v>813</v>
      </c>
      <c r="B51" s="439"/>
      <c r="C51" s="439"/>
      <c r="D51" s="439"/>
      <c r="E51" s="439"/>
      <c r="F51" s="439"/>
      <c r="G51" s="439"/>
      <c r="H51" s="439"/>
      <c r="I51" s="439"/>
      <c r="J51" s="439"/>
      <c r="K51" s="439"/>
      <c r="L51" s="439"/>
      <c r="M51" s="439"/>
      <c r="N51" s="439"/>
      <c r="O51" s="439"/>
      <c r="P51" s="439"/>
    </row>
    <row r="52" spans="1:16" s="307" customFormat="1" x14ac:dyDescent="0.25">
      <c r="A52" s="448" t="s">
        <v>814</v>
      </c>
      <c r="B52" s="439"/>
      <c r="C52" s="439"/>
      <c r="D52" s="439"/>
      <c r="E52" s="439"/>
      <c r="F52" s="439"/>
      <c r="G52" s="439"/>
      <c r="H52" s="439"/>
      <c r="I52" s="439"/>
      <c r="J52" s="439"/>
      <c r="K52" s="439"/>
      <c r="L52" s="439"/>
      <c r="M52" s="439"/>
      <c r="N52" s="439"/>
      <c r="O52" s="439"/>
      <c r="P52" s="439"/>
    </row>
    <row r="53" spans="1:16" s="307" customFormat="1" x14ac:dyDescent="0.25">
      <c r="A53" s="439" t="s">
        <v>815</v>
      </c>
      <c r="B53" s="439"/>
      <c r="C53" s="439"/>
      <c r="D53" s="439"/>
      <c r="E53" s="439"/>
      <c r="F53" s="439"/>
      <c r="G53" s="439"/>
      <c r="H53" s="439"/>
      <c r="I53" s="439"/>
      <c r="J53" s="439"/>
      <c r="K53" s="439"/>
      <c r="L53" s="439"/>
      <c r="M53" s="439"/>
      <c r="N53" s="439"/>
      <c r="O53" s="439"/>
      <c r="P53" s="439"/>
    </row>
    <row r="54" spans="1:16" s="307" customFormat="1" x14ac:dyDescent="0.25">
      <c r="A54" s="439" t="s">
        <v>816</v>
      </c>
      <c r="B54" s="439"/>
      <c r="C54" s="439"/>
      <c r="D54" s="439"/>
      <c r="E54" s="439"/>
      <c r="F54" s="439"/>
      <c r="G54" s="439"/>
      <c r="H54" s="439"/>
      <c r="I54" s="439"/>
      <c r="J54" s="439"/>
      <c r="K54" s="439"/>
      <c r="L54" s="439"/>
      <c r="M54" s="439"/>
      <c r="N54" s="439"/>
      <c r="O54" s="439"/>
      <c r="P54" s="439"/>
    </row>
    <row r="55" spans="1:16" s="307" customFormat="1" x14ac:dyDescent="0.25">
      <c r="A55" s="482" t="s">
        <v>821</v>
      </c>
      <c r="B55" s="482"/>
      <c r="C55" s="482"/>
      <c r="D55" s="482"/>
      <c r="E55" s="482"/>
      <c r="F55" s="482"/>
      <c r="G55" s="482"/>
      <c r="H55" s="482"/>
      <c r="I55" s="482"/>
      <c r="J55" s="482"/>
      <c r="K55" s="482"/>
      <c r="L55" s="482"/>
      <c r="M55" s="482"/>
      <c r="N55" s="482"/>
      <c r="O55" s="482"/>
      <c r="P55" s="482"/>
    </row>
    <row r="56" spans="1:16" s="307" customFormat="1" x14ac:dyDescent="0.25">
      <c r="A56" s="438" t="s">
        <v>817</v>
      </c>
      <c r="B56" s="439"/>
      <c r="C56" s="439"/>
      <c r="D56" s="439"/>
      <c r="E56" s="439"/>
      <c r="F56" s="439"/>
      <c r="G56" s="439"/>
      <c r="H56" s="439"/>
      <c r="I56" s="439"/>
      <c r="J56" s="439"/>
      <c r="K56" s="439"/>
      <c r="L56" s="439"/>
      <c r="M56" s="439"/>
      <c r="N56" s="439"/>
      <c r="O56" s="439"/>
      <c r="P56" s="439"/>
    </row>
    <row r="57" spans="1:16" s="307" customFormat="1" x14ac:dyDescent="0.25">
      <c r="A57" s="438" t="s">
        <v>818</v>
      </c>
      <c r="B57" s="439"/>
      <c r="C57" s="439"/>
      <c r="D57" s="439"/>
      <c r="E57" s="439"/>
      <c r="F57" s="439"/>
      <c r="G57" s="439"/>
      <c r="H57" s="439"/>
      <c r="I57" s="439"/>
      <c r="J57" s="439"/>
      <c r="K57" s="439"/>
      <c r="L57" s="439"/>
      <c r="M57" s="439"/>
      <c r="N57" s="439"/>
      <c r="O57" s="439"/>
      <c r="P57" s="439"/>
    </row>
    <row r="58" spans="1:16" s="307" customFormat="1" x14ac:dyDescent="0.25">
      <c r="A58" s="438" t="s">
        <v>819</v>
      </c>
      <c r="B58" s="439"/>
      <c r="C58" s="439"/>
      <c r="D58" s="439"/>
      <c r="E58" s="439"/>
      <c r="F58" s="439"/>
      <c r="G58" s="439"/>
      <c r="H58" s="439"/>
      <c r="I58" s="439"/>
      <c r="J58" s="439"/>
      <c r="K58" s="439"/>
      <c r="L58" s="439"/>
      <c r="M58" s="439"/>
      <c r="N58" s="439"/>
      <c r="O58" s="439"/>
      <c r="P58" s="439"/>
    </row>
    <row r="59" spans="1:16" s="307" customFormat="1" x14ac:dyDescent="0.25">
      <c r="A59" s="438" t="s">
        <v>820</v>
      </c>
      <c r="B59" s="439"/>
      <c r="C59" s="439"/>
      <c r="D59" s="439"/>
      <c r="E59" s="439"/>
      <c r="F59" s="439"/>
      <c r="G59" s="439"/>
      <c r="H59" s="439"/>
      <c r="I59" s="439"/>
      <c r="J59" s="439"/>
      <c r="K59" s="439"/>
      <c r="L59" s="439"/>
      <c r="M59" s="439"/>
      <c r="N59" s="439"/>
      <c r="O59" s="439"/>
      <c r="P59" s="439"/>
    </row>
    <row r="60" spans="1:16" s="439" customFormat="1" x14ac:dyDescent="0.25">
      <c r="A60" s="440" t="s">
        <v>703</v>
      </c>
    </row>
    <row r="61" spans="1:16" s="439" customFormat="1" x14ac:dyDescent="0.25">
      <c r="A61" s="441" t="s">
        <v>704</v>
      </c>
    </row>
    <row r="62" spans="1:16" s="439" customFormat="1" x14ac:dyDescent="0.25">
      <c r="A62" s="438" t="s">
        <v>705</v>
      </c>
    </row>
    <row r="63" spans="1:16" x14ac:dyDescent="0.25">
      <c r="A63" s="299" t="s">
        <v>706</v>
      </c>
    </row>
    <row r="64" spans="1:16" x14ac:dyDescent="0.25">
      <c r="A64" s="2" t="s">
        <v>824</v>
      </c>
    </row>
    <row r="65" spans="1:1" x14ac:dyDescent="0.25">
      <c r="A65" s="307" t="s">
        <v>707</v>
      </c>
    </row>
    <row r="66" spans="1:1" x14ac:dyDescent="0.25">
      <c r="A66" s="307" t="s">
        <v>708</v>
      </c>
    </row>
    <row r="67" spans="1:1" x14ac:dyDescent="0.25">
      <c r="A67" t="s">
        <v>826</v>
      </c>
    </row>
    <row r="68" spans="1:1" x14ac:dyDescent="0.25">
      <c r="A68" s="422" t="s">
        <v>711</v>
      </c>
    </row>
    <row r="69" spans="1:1" x14ac:dyDescent="0.25">
      <c r="A69" s="422" t="s">
        <v>725</v>
      </c>
    </row>
    <row r="70" spans="1:1" x14ac:dyDescent="0.25">
      <c r="A70" s="307" t="s">
        <v>712</v>
      </c>
    </row>
    <row r="71" spans="1:1" x14ac:dyDescent="0.25">
      <c r="A71" s="307" t="s">
        <v>713</v>
      </c>
    </row>
    <row r="72" spans="1:1" x14ac:dyDescent="0.25">
      <c r="A72" s="2" t="s">
        <v>746</v>
      </c>
    </row>
    <row r="73" spans="1:1" x14ac:dyDescent="0.25">
      <c r="A73" s="2" t="s">
        <v>747</v>
      </c>
    </row>
    <row r="74" spans="1:1" x14ac:dyDescent="0.25">
      <c r="A74" s="422" t="s">
        <v>748</v>
      </c>
    </row>
    <row r="75" spans="1:1" x14ac:dyDescent="0.25">
      <c r="A75" s="456" t="s">
        <v>795</v>
      </c>
    </row>
    <row r="76" spans="1:1" x14ac:dyDescent="0.25">
      <c r="A76" s="457" t="s">
        <v>796</v>
      </c>
    </row>
  </sheetData>
  <sheetProtection algorithmName="SHA-512" hashValue="+0K//zNLG3c6gm5qxrLFrWtCHksBDUAQqfEEh/BdTQ2QVKBGHvJJIgMlTYpKgp49OpTaEqEIeKA3cqJXtIKw0w==" saltValue="qVBXUZTN4P+fFZUrmvVgKg==" spinCount="100000" sheet="1" objects="1" scenarios="1"/>
  <hyperlinks>
    <hyperlink ref="C6" location="'EU OV1'!A1" display="EU OV1" xr:uid="{CBD62E3E-AF27-462D-BE1A-B97C8D3568F6}"/>
    <hyperlink ref="C7" location="'EU KM1'!A1" display="EU KM1" xr:uid="{827E65F5-F40D-4AC2-A505-4E39A8AA0D7A}"/>
    <hyperlink ref="C8" location="'Skema EU LI1 '!A1" display="EU LI1" xr:uid="{B31DF12C-8FA7-4676-A9CA-A6BE841F513E}"/>
    <hyperlink ref="C9" location="'Skema EU LI2'!A1" display="EU LI2" xr:uid="{A90B1D40-87DE-444C-9E47-128653DAB8FC}"/>
    <hyperlink ref="C10" location="'Skema EU LI3'!A1" display="EU LI3" xr:uid="{938E45B5-017F-4F5D-874C-5A380E41E24D}"/>
    <hyperlink ref="C11" location="'Skema EU CC1'!A1" display="EU CC1" xr:uid="{1ADAA856-9318-4852-9C0C-097444915C09}"/>
    <hyperlink ref="C12" location="'EU CCyB1'!A1" display="EU-CCyB1" xr:uid="{68219629-868C-494B-BC85-F6F9856214C1}"/>
    <hyperlink ref="C13" location="'EU CCyB2'!A1" display="EU-CCyB2" xr:uid="{D024878B-3462-4C6C-AFF2-F6BAE85B2D83}"/>
    <hyperlink ref="C14" location="'EU LR1 - LRSum'!A1" display="EU LR1" xr:uid="{9BBB69D8-C56E-40FC-BFAE-F2FDDD3E8D1D}"/>
    <hyperlink ref="C15" location="'EU LR2 - LRCom'!A1" display="EU LR2" xr:uid="{5E952C89-AF38-482C-B0D7-95D025278195}"/>
    <hyperlink ref="C16" location="'EU LR3 - LRSpl'!A1" display="EU LR3" xr:uid="{69AF575E-4367-4B61-9CCD-60BF413D6E05}"/>
    <hyperlink ref="C17" location="'EU LIQ1'!A1" display="EU LIQ1" xr:uid="{AE55BD72-3C20-4751-B22F-BFD1455B0482}"/>
    <hyperlink ref="C18" location="'EU LIQ2'!A1" display="EU LIQ2" xr:uid="{3BCF3AF1-4C9E-4BB2-B496-B9CF01A2CBEE}"/>
    <hyperlink ref="C19" location="'Skema EU CR1'!A1" display="EU CR1" xr:uid="{720141F3-72E1-4887-87E5-ABAB593353BA}"/>
    <hyperlink ref="C20" location="'Skema EU CR1-A'!A1" display="EU CR1-A" xr:uid="{16BF044A-784A-46DF-B778-3585DFA3330B}"/>
    <hyperlink ref="C21" location="'Skema EU CQ3'!A1" display="EU CQ3" xr:uid="{392DBA15-C0E5-48C8-A15B-F19FFE08BCDB}"/>
    <hyperlink ref="C22" location="'Skema EU CQ5'!A1" display="EU CQ5" xr:uid="{D6D54D4F-B2F2-4662-B273-EB25FBCE7FC8}"/>
    <hyperlink ref="C23" location="'EU CR3'!A1" display="EU CR3" xr:uid="{36F541C3-D1BC-4331-B171-7F02D3441FF5}"/>
    <hyperlink ref="C24" location="'EU CR4'!A1" display="EU CR4" xr:uid="{4339E24D-B4A2-4082-AF7F-20D566F42A9A}"/>
    <hyperlink ref="C25" location="'EU CR5'!A1" display="EU CR5" xr:uid="{1E9C448C-920E-4945-8CA2-5213F61023FB}"/>
    <hyperlink ref="C26" location="'EU MR1'!A1" display="EU MR1" xr:uid="{D7DBF5EA-9EB8-4688-AA46-FCA63ED30B9A}"/>
    <hyperlink ref="C27" location="'Skema EU OR1'!A1" display="EU OR1" xr:uid="{8C8497E4-AE12-41BD-A540-F7C9BB024094}"/>
    <hyperlink ref="C28" location="'REM1'!A1" display="EU REM1" xr:uid="{A315FA0B-3D81-4889-90A5-9E534606F0D1}"/>
    <hyperlink ref="C29" location="'REM5'!A1" display="EU REM5" xr:uid="{91F0FD88-D6EC-4DEA-9F0B-7C8BC662B655}"/>
    <hyperlink ref="C30" location="'Skema EU AE1'!A1" display="EU AE1" xr:uid="{29A55B7C-DEF0-4D69-832B-3228A97D19D8}"/>
  </hyperlinks>
  <pageMargins left="0.70866141732283472" right="0.11811023622047245" top="0.74803149606299213" bottom="0.74803149606299213" header="0.31496062992125984" footer="0.31496062992125984"/>
  <pageSetup paperSize="9" scale="4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8B19C-F1D8-415B-B199-AEA23E926C1F}">
  <sheetPr>
    <tabColor theme="0" tint="-0.14999847407452621"/>
    <pageSetUpPr autoPageBreaks="0" fitToPage="1"/>
  </sheetPr>
  <dimension ref="A2:J16"/>
  <sheetViews>
    <sheetView workbookViewId="0"/>
  </sheetViews>
  <sheetFormatPr defaultColWidth="9.140625" defaultRowHeight="15" x14ac:dyDescent="0.25"/>
  <cols>
    <col min="2" max="2" width="6.28515625" customWidth="1"/>
    <col min="3" max="3" width="55" customWidth="1"/>
    <col min="4" max="4" width="19.28515625" customWidth="1"/>
    <col min="5" max="5" width="27" customWidth="1"/>
    <col min="6" max="6" width="23.7109375" customWidth="1"/>
    <col min="7" max="7" width="21.140625" customWidth="1"/>
    <col min="8" max="8" width="28.28515625" customWidth="1"/>
  </cols>
  <sheetData>
    <row r="2" spans="1:10" ht="16.5" x14ac:dyDescent="0.25">
      <c r="C2" s="309"/>
      <c r="D2" s="309"/>
      <c r="E2" s="309"/>
      <c r="F2" s="309"/>
      <c r="G2" s="309"/>
      <c r="H2" s="309"/>
      <c r="I2" s="309"/>
      <c r="J2" s="310"/>
    </row>
    <row r="3" spans="1:10" ht="21" customHeight="1" x14ac:dyDescent="0.35">
      <c r="A3" s="311"/>
      <c r="C3" s="312" t="s">
        <v>664</v>
      </c>
      <c r="D3" s="313"/>
      <c r="E3" s="313"/>
      <c r="F3" s="313"/>
      <c r="G3" s="313"/>
      <c r="H3" s="313"/>
      <c r="J3" s="310"/>
    </row>
    <row r="7" spans="1:10" ht="32.25" customHeight="1" x14ac:dyDescent="0.25">
      <c r="C7" s="314"/>
      <c r="D7" s="315" t="s">
        <v>665</v>
      </c>
      <c r="E7" s="316" t="s">
        <v>666</v>
      </c>
      <c r="F7" s="317"/>
      <c r="G7" s="317"/>
      <c r="H7" s="318"/>
      <c r="I7" s="310"/>
      <c r="J7" s="310"/>
    </row>
    <row r="8" spans="1:10" ht="32.25" customHeight="1" x14ac:dyDescent="0.25">
      <c r="C8" s="314"/>
      <c r="D8" s="319"/>
      <c r="E8" s="320"/>
      <c r="F8" s="315" t="s">
        <v>667</v>
      </c>
      <c r="G8" s="316" t="s">
        <v>668</v>
      </c>
      <c r="H8" s="321"/>
      <c r="I8" s="310"/>
      <c r="J8" s="310"/>
    </row>
    <row r="9" spans="1:10" ht="32.25" customHeight="1" x14ac:dyDescent="0.25">
      <c r="C9" s="314"/>
      <c r="D9" s="322"/>
      <c r="E9" s="323"/>
      <c r="F9" s="322"/>
      <c r="G9" s="323"/>
      <c r="H9" s="315" t="s">
        <v>669</v>
      </c>
      <c r="I9" s="310"/>
      <c r="J9" s="310"/>
    </row>
    <row r="10" spans="1:10" ht="14.25" customHeight="1" x14ac:dyDescent="0.25">
      <c r="C10" s="314"/>
      <c r="D10" s="324" t="s">
        <v>2</v>
      </c>
      <c r="E10" s="325" t="s">
        <v>3</v>
      </c>
      <c r="F10" s="324" t="s">
        <v>4</v>
      </c>
      <c r="G10" s="325" t="s">
        <v>100</v>
      </c>
      <c r="H10" s="324" t="s">
        <v>99</v>
      </c>
      <c r="I10" s="310"/>
      <c r="J10" s="310"/>
    </row>
    <row r="11" spans="1:10" ht="11.25" customHeight="1" x14ac:dyDescent="0.25">
      <c r="B11" s="324">
        <v>1</v>
      </c>
      <c r="C11" s="326" t="s">
        <v>582</v>
      </c>
      <c r="D11" s="429">
        <v>202918</v>
      </c>
      <c r="E11" s="429">
        <v>73994</v>
      </c>
      <c r="F11" s="429">
        <f>+E11</f>
        <v>73994</v>
      </c>
      <c r="G11" s="429"/>
      <c r="H11" s="430"/>
      <c r="I11" s="310"/>
      <c r="J11" s="310"/>
    </row>
    <row r="12" spans="1:10" ht="11.25" customHeight="1" x14ac:dyDescent="0.25">
      <c r="B12" s="324">
        <v>2</v>
      </c>
      <c r="C12" s="326" t="s">
        <v>670</v>
      </c>
      <c r="D12" s="429"/>
      <c r="E12" s="429"/>
      <c r="F12" s="429"/>
      <c r="G12" s="429"/>
      <c r="H12" s="431" t="s">
        <v>671</v>
      </c>
      <c r="I12" s="310"/>
      <c r="J12" s="310"/>
    </row>
    <row r="13" spans="1:10" ht="12" customHeight="1" x14ac:dyDescent="0.25">
      <c r="B13" s="324">
        <v>3</v>
      </c>
      <c r="C13" s="326" t="s">
        <v>38</v>
      </c>
      <c r="D13" s="429">
        <f>SUM(D11:D12)</f>
        <v>202918</v>
      </c>
      <c r="E13" s="429">
        <f>SUM(E11:E12)</f>
        <v>73994</v>
      </c>
      <c r="F13" s="429">
        <f>SUM(F11:F12)</f>
        <v>73994</v>
      </c>
      <c r="G13" s="273"/>
      <c r="H13" s="430"/>
      <c r="I13" s="310"/>
      <c r="J13" s="310"/>
    </row>
    <row r="14" spans="1:10" ht="16.5" x14ac:dyDescent="0.25">
      <c r="B14" s="324">
        <v>4</v>
      </c>
      <c r="C14" s="327" t="s">
        <v>672</v>
      </c>
      <c r="D14" s="432"/>
      <c r="E14" s="429"/>
      <c r="F14" s="429"/>
      <c r="G14" s="433"/>
      <c r="H14" s="430" t="s">
        <v>671</v>
      </c>
      <c r="I14" s="310"/>
      <c r="J14" s="310"/>
    </row>
    <row r="15" spans="1:10" ht="16.5" x14ac:dyDescent="0.25">
      <c r="B15" s="328" t="s">
        <v>455</v>
      </c>
      <c r="C15" s="327" t="s">
        <v>673</v>
      </c>
      <c r="D15" s="432"/>
      <c r="E15" s="429"/>
      <c r="F15" s="431"/>
      <c r="G15" s="431"/>
      <c r="H15" s="431"/>
      <c r="I15" s="310"/>
      <c r="J15" s="310"/>
    </row>
    <row r="16" spans="1:10" x14ac:dyDescent="0.25">
      <c r="C16" s="85"/>
    </row>
  </sheetData>
  <sheetProtection algorithmName="SHA-512" hashValue="yJY5F5GdjabWM5Vs8jDrq+lW8mmtmeuf0X6XzEPjPoXFkMLshpGaSkQik9xEqE4ZaxxgiuglupG0q3oc/XdxOg==" saltValue="5ybP6qUMeaee0SyZOX1elA==" spinCount="100000" sheet="1" objects="1" scenarios="1"/>
  <pageMargins left="0.70866141732283472" right="0.70866141732283472" top="0.74803149606299213" bottom="0.74803149606299213" header="0.31496062992125984" footer="0.31496062992125984"/>
  <pageSetup paperSize="9" scale="62" orientation="landscape" r:id="rId1"/>
  <headerFooter>
    <oddHeader>&amp;CDA
Bilag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F18B6-83D8-4368-90FD-89AAD7AD64DA}">
  <sheetPr>
    <tabColor theme="0" tint="-0.14999847407452621"/>
    <pageSetUpPr fitToPage="1"/>
  </sheetPr>
  <dimension ref="A1:H28"/>
  <sheetViews>
    <sheetView zoomScale="80" zoomScaleNormal="80" workbookViewId="0"/>
  </sheetViews>
  <sheetFormatPr defaultRowHeight="15" x14ac:dyDescent="0.25"/>
  <cols>
    <col min="1" max="1" width="4.42578125" customWidth="1"/>
    <col min="2" max="2" width="69.140625" customWidth="1"/>
    <col min="3" max="8" width="24.85546875" customWidth="1"/>
  </cols>
  <sheetData>
    <row r="1" spans="1:8" ht="18.75" x14ac:dyDescent="0.3">
      <c r="B1" s="73" t="s">
        <v>674</v>
      </c>
    </row>
    <row r="4" spans="1:8" x14ac:dyDescent="0.25">
      <c r="A4" s="329"/>
      <c r="B4" s="661" t="s">
        <v>676</v>
      </c>
      <c r="C4" s="662" t="s">
        <v>677</v>
      </c>
      <c r="D4" s="661"/>
      <c r="E4" s="663" t="s">
        <v>678</v>
      </c>
      <c r="F4" s="662"/>
      <c r="G4" s="664" t="s">
        <v>679</v>
      </c>
      <c r="H4" s="665"/>
    </row>
    <row r="5" spans="1:8" ht="30" x14ac:dyDescent="0.25">
      <c r="A5" s="330"/>
      <c r="B5" s="661"/>
      <c r="C5" s="331" t="s">
        <v>631</v>
      </c>
      <c r="D5" s="332" t="s">
        <v>400</v>
      </c>
      <c r="E5" s="331" t="s">
        <v>631</v>
      </c>
      <c r="F5" s="332" t="s">
        <v>400</v>
      </c>
      <c r="G5" s="9" t="s">
        <v>680</v>
      </c>
      <c r="H5" s="9" t="s">
        <v>681</v>
      </c>
    </row>
    <row r="6" spans="1:8" x14ac:dyDescent="0.25">
      <c r="A6" s="330"/>
      <c r="B6" s="661"/>
      <c r="C6" s="224" t="s">
        <v>2</v>
      </c>
      <c r="D6" s="223" t="s">
        <v>3</v>
      </c>
      <c r="E6" s="223" t="s">
        <v>4</v>
      </c>
      <c r="F6" s="223" t="s">
        <v>100</v>
      </c>
      <c r="G6" s="223" t="s">
        <v>99</v>
      </c>
      <c r="H6" s="223" t="s">
        <v>115</v>
      </c>
    </row>
    <row r="7" spans="1:8" x14ac:dyDescent="0.25">
      <c r="A7" s="333">
        <v>1</v>
      </c>
      <c r="B7" s="58" t="s">
        <v>682</v>
      </c>
      <c r="C7" s="434">
        <v>903333</v>
      </c>
      <c r="D7" s="435"/>
      <c r="E7" s="436">
        <v>903315</v>
      </c>
      <c r="F7" s="436"/>
      <c r="G7" s="435"/>
      <c r="H7" s="437">
        <f>+G7/(E7+F7)</f>
        <v>0</v>
      </c>
    </row>
    <row r="8" spans="1:8" x14ac:dyDescent="0.25">
      <c r="A8" s="333">
        <v>2</v>
      </c>
      <c r="B8" s="308" t="s">
        <v>683</v>
      </c>
      <c r="C8" s="434"/>
      <c r="D8" s="435"/>
      <c r="E8" s="436">
        <v>137</v>
      </c>
      <c r="F8" s="436"/>
      <c r="G8" s="435">
        <v>27</v>
      </c>
      <c r="H8" s="437">
        <f>+G8/(E8+F8)</f>
        <v>0.19708029197080293</v>
      </c>
    </row>
    <row r="9" spans="1:8" x14ac:dyDescent="0.25">
      <c r="A9" s="333">
        <v>3</v>
      </c>
      <c r="B9" s="308" t="s">
        <v>684</v>
      </c>
      <c r="C9" s="434">
        <v>1074</v>
      </c>
      <c r="D9" s="435">
        <v>9854</v>
      </c>
      <c r="E9" s="436">
        <v>20937</v>
      </c>
      <c r="F9" s="436">
        <v>7629</v>
      </c>
      <c r="G9" s="435">
        <v>5044</v>
      </c>
      <c r="H9" s="437">
        <f>+G9/(E9+F9)</f>
        <v>0.17657354897430511</v>
      </c>
    </row>
    <row r="10" spans="1:8" x14ac:dyDescent="0.25">
      <c r="A10" s="333">
        <v>4</v>
      </c>
      <c r="B10" s="308" t="s">
        <v>685</v>
      </c>
      <c r="C10" s="434"/>
      <c r="D10" s="435"/>
      <c r="E10" s="436"/>
      <c r="F10" s="436"/>
      <c r="G10" s="435"/>
      <c r="H10" s="435"/>
    </row>
    <row r="11" spans="1:8" x14ac:dyDescent="0.25">
      <c r="A11" s="333">
        <v>5</v>
      </c>
      <c r="B11" s="308" t="s">
        <v>686</v>
      </c>
      <c r="C11" s="434"/>
      <c r="D11" s="435"/>
      <c r="E11" s="436"/>
      <c r="F11" s="436"/>
      <c r="G11" s="435"/>
      <c r="H11" s="435"/>
    </row>
    <row r="12" spans="1:8" x14ac:dyDescent="0.25">
      <c r="A12" s="333">
        <v>6</v>
      </c>
      <c r="B12" s="308" t="s">
        <v>460</v>
      </c>
      <c r="C12" s="434">
        <v>35351</v>
      </c>
      <c r="D12" s="435"/>
      <c r="E12" s="436">
        <v>35350</v>
      </c>
      <c r="F12" s="436"/>
      <c r="G12" s="435">
        <v>7070</v>
      </c>
      <c r="H12" s="437">
        <f t="shared" ref="H12:H16" si="0">+G12/(E12+F12)</f>
        <v>0.2</v>
      </c>
    </row>
    <row r="13" spans="1:8" x14ac:dyDescent="0.25">
      <c r="A13" s="333">
        <v>7</v>
      </c>
      <c r="B13" s="308" t="s">
        <v>466</v>
      </c>
      <c r="C13" s="434">
        <v>250653</v>
      </c>
      <c r="D13" s="435">
        <v>76050</v>
      </c>
      <c r="E13" s="436">
        <v>207828</v>
      </c>
      <c r="F13" s="436">
        <v>50399</v>
      </c>
      <c r="G13" s="435">
        <v>217556</v>
      </c>
      <c r="H13" s="437">
        <f t="shared" si="0"/>
        <v>0.84249904154096977</v>
      </c>
    </row>
    <row r="14" spans="1:8" x14ac:dyDescent="0.25">
      <c r="A14" s="333">
        <v>8</v>
      </c>
      <c r="B14" s="308" t="s">
        <v>687</v>
      </c>
      <c r="C14" s="434">
        <v>1272163</v>
      </c>
      <c r="D14" s="435">
        <v>970429</v>
      </c>
      <c r="E14" s="436">
        <v>1205916</v>
      </c>
      <c r="F14" s="436">
        <v>590865</v>
      </c>
      <c r="G14" s="435">
        <v>1233335</v>
      </c>
      <c r="H14" s="437">
        <f t="shared" si="0"/>
        <v>0.6864136475174214</v>
      </c>
    </row>
    <row r="15" spans="1:8" x14ac:dyDescent="0.25">
      <c r="A15" s="333">
        <v>9</v>
      </c>
      <c r="B15" s="308" t="s">
        <v>462</v>
      </c>
      <c r="C15" s="434">
        <v>209674</v>
      </c>
      <c r="D15" s="435">
        <v>302063</v>
      </c>
      <c r="E15" s="436">
        <v>207975</v>
      </c>
      <c r="F15" s="436">
        <v>250118</v>
      </c>
      <c r="G15" s="435">
        <v>156736</v>
      </c>
      <c r="H15" s="437">
        <f t="shared" si="0"/>
        <v>0.34214886496846708</v>
      </c>
    </row>
    <row r="16" spans="1:8" x14ac:dyDescent="0.25">
      <c r="A16" s="333">
        <v>10</v>
      </c>
      <c r="B16" s="308" t="s">
        <v>468</v>
      </c>
      <c r="C16" s="434">
        <v>143957</v>
      </c>
      <c r="D16" s="435">
        <v>47415</v>
      </c>
      <c r="E16" s="436">
        <v>74164</v>
      </c>
      <c r="F16" s="436">
        <v>33425</v>
      </c>
      <c r="G16" s="435">
        <v>132419</v>
      </c>
      <c r="H16" s="437">
        <f t="shared" si="0"/>
        <v>1.2307856751154858</v>
      </c>
    </row>
    <row r="17" spans="1:8" x14ac:dyDescent="0.25">
      <c r="A17" s="333">
        <v>11</v>
      </c>
      <c r="B17" s="308" t="s">
        <v>688</v>
      </c>
      <c r="C17" s="434"/>
      <c r="D17" s="435"/>
      <c r="E17" s="436"/>
      <c r="F17" s="436"/>
      <c r="G17" s="435"/>
      <c r="H17" s="435"/>
    </row>
    <row r="18" spans="1:8" x14ac:dyDescent="0.25">
      <c r="A18" s="333">
        <v>12</v>
      </c>
      <c r="B18" s="308" t="s">
        <v>454</v>
      </c>
      <c r="C18" s="434"/>
      <c r="D18" s="435"/>
      <c r="E18" s="436"/>
      <c r="F18" s="436"/>
      <c r="G18" s="435"/>
      <c r="H18" s="435"/>
    </row>
    <row r="19" spans="1:8" x14ac:dyDescent="0.25">
      <c r="A19" s="333">
        <v>13</v>
      </c>
      <c r="B19" s="308" t="s">
        <v>689</v>
      </c>
      <c r="C19" s="434"/>
      <c r="D19" s="435"/>
      <c r="E19" s="435"/>
      <c r="F19" s="435"/>
      <c r="G19" s="435"/>
      <c r="H19" s="435"/>
    </row>
    <row r="20" spans="1:8" x14ac:dyDescent="0.25">
      <c r="A20" s="333">
        <v>14</v>
      </c>
      <c r="B20" s="308" t="s">
        <v>690</v>
      </c>
      <c r="C20" s="434"/>
      <c r="D20" s="435"/>
      <c r="E20" s="435"/>
      <c r="F20" s="435"/>
      <c r="G20" s="435"/>
      <c r="H20" s="435"/>
    </row>
    <row r="21" spans="1:8" x14ac:dyDescent="0.25">
      <c r="A21" s="333">
        <v>15</v>
      </c>
      <c r="B21" s="308" t="s">
        <v>691</v>
      </c>
      <c r="C21" s="434">
        <f>55271+2217</f>
        <v>57488</v>
      </c>
      <c r="D21" s="435"/>
      <c r="E21" s="435">
        <f>+C21</f>
        <v>57488</v>
      </c>
      <c r="F21" s="435"/>
      <c r="G21" s="435">
        <f>+E21</f>
        <v>57488</v>
      </c>
      <c r="H21" s="437">
        <f>+G21/(E21+F21)</f>
        <v>1</v>
      </c>
    </row>
    <row r="22" spans="1:8" x14ac:dyDescent="0.25">
      <c r="A22" s="333">
        <v>16</v>
      </c>
      <c r="B22" s="308" t="s">
        <v>692</v>
      </c>
      <c r="C22" s="434">
        <v>123221</v>
      </c>
      <c r="D22" s="435">
        <v>1247</v>
      </c>
      <c r="E22" s="435">
        <v>122201</v>
      </c>
      <c r="F22" s="435">
        <v>739</v>
      </c>
      <c r="G22" s="435">
        <v>105023</v>
      </c>
      <c r="H22" s="437">
        <f>+G22/(E22+F22)</f>
        <v>0.85426224174394016</v>
      </c>
    </row>
    <row r="23" spans="1:8" x14ac:dyDescent="0.25">
      <c r="A23" s="334">
        <v>17</v>
      </c>
      <c r="B23" s="335" t="s">
        <v>693</v>
      </c>
      <c r="C23" s="514">
        <f>SUM(C7:C22)</f>
        <v>2996914</v>
      </c>
      <c r="D23" s="514">
        <f t="shared" ref="D23:F23" si="1">SUM(D7:D22)</f>
        <v>1407058</v>
      </c>
      <c r="E23" s="514">
        <f t="shared" si="1"/>
        <v>2835311</v>
      </c>
      <c r="F23" s="514">
        <f t="shared" si="1"/>
        <v>933175</v>
      </c>
      <c r="G23" s="436">
        <f>SUM(G7:G22)</f>
        <v>1914698</v>
      </c>
      <c r="H23" s="437">
        <f>+G23/(E23+F23)</f>
        <v>0.50808149479658404</v>
      </c>
    </row>
    <row r="25" spans="1:8" s="17" customFormat="1" x14ac:dyDescent="0.25"/>
    <row r="26" spans="1:8" s="17" customFormat="1" x14ac:dyDescent="0.25"/>
    <row r="27" spans="1:8" s="17" customFormat="1" x14ac:dyDescent="0.25"/>
    <row r="28" spans="1:8" s="17" customFormat="1" x14ac:dyDescent="0.25"/>
  </sheetData>
  <sheetProtection algorithmName="SHA-512" hashValue="WPsy5oqN/9LkbYDrmuVcEIZFlhItt8st/sum6FzH+HwA+AU1KDikIJREH4rriWmqk3iROEHHUkTjEr511r9WRw==" saltValue="VFaZFf6/YznCffGTDwuCxQ==" spinCount="100000" sheet="1" objects="1" scenarios="1"/>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&amp;CDA
Bilag XIX</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BBB6A-EAAF-49EF-8CF1-1DF0C4FB4A5B}">
  <sheetPr>
    <tabColor theme="0" tint="-0.14999847407452621"/>
    <pageSetUpPr fitToPage="1"/>
  </sheetPr>
  <dimension ref="A2:S24"/>
  <sheetViews>
    <sheetView zoomScale="90" zoomScaleNormal="90" workbookViewId="0"/>
  </sheetViews>
  <sheetFormatPr defaultRowHeight="15" x14ac:dyDescent="0.25"/>
  <cols>
    <col min="1" max="1" width="3.85546875" customWidth="1"/>
    <col min="2" max="2" width="38.140625" customWidth="1"/>
    <col min="3" max="19" width="12.7109375" customWidth="1"/>
  </cols>
  <sheetData>
    <row r="2" spans="1:19" ht="18.75" x14ac:dyDescent="0.3">
      <c r="B2" s="73" t="s">
        <v>675</v>
      </c>
    </row>
    <row r="5" spans="1:19" ht="15" customHeight="1" x14ac:dyDescent="0.25">
      <c r="A5" s="329"/>
      <c r="B5" s="661" t="s">
        <v>676</v>
      </c>
      <c r="C5" s="663" t="s">
        <v>694</v>
      </c>
      <c r="D5" s="666"/>
      <c r="E5" s="666"/>
      <c r="F5" s="666"/>
      <c r="G5" s="666"/>
      <c r="H5" s="666"/>
      <c r="I5" s="666"/>
      <c r="J5" s="666"/>
      <c r="K5" s="666"/>
      <c r="L5" s="666"/>
      <c r="M5" s="666"/>
      <c r="N5" s="666"/>
      <c r="O5" s="666"/>
      <c r="P5" s="666"/>
      <c r="Q5" s="662"/>
      <c r="R5" s="667" t="s">
        <v>38</v>
      </c>
      <c r="S5" s="667" t="s">
        <v>695</v>
      </c>
    </row>
    <row r="6" spans="1:19" x14ac:dyDescent="0.25">
      <c r="A6" s="330"/>
      <c r="B6" s="661"/>
      <c r="C6" s="336">
        <v>0</v>
      </c>
      <c r="D6" s="337">
        <v>0.02</v>
      </c>
      <c r="E6" s="336">
        <v>0.04</v>
      </c>
      <c r="F6" s="337">
        <v>0.1</v>
      </c>
      <c r="G6" s="337">
        <v>0.2</v>
      </c>
      <c r="H6" s="337">
        <v>0.35</v>
      </c>
      <c r="I6" s="337">
        <v>0.5</v>
      </c>
      <c r="J6" s="337">
        <v>0.7</v>
      </c>
      <c r="K6" s="337">
        <v>0.75</v>
      </c>
      <c r="L6" s="338">
        <v>1</v>
      </c>
      <c r="M6" s="338">
        <v>1.5</v>
      </c>
      <c r="N6" s="338">
        <v>2.5</v>
      </c>
      <c r="O6" s="338">
        <v>3.7</v>
      </c>
      <c r="P6" s="338">
        <v>12.5</v>
      </c>
      <c r="Q6" s="338" t="s">
        <v>696</v>
      </c>
      <c r="R6" s="667"/>
      <c r="S6" s="667"/>
    </row>
    <row r="7" spans="1:19" x14ac:dyDescent="0.25">
      <c r="A7" s="330"/>
      <c r="B7" s="661"/>
      <c r="C7" s="224" t="s">
        <v>2</v>
      </c>
      <c r="D7" s="224" t="s">
        <v>3</v>
      </c>
      <c r="E7" s="224" t="s">
        <v>4</v>
      </c>
      <c r="F7" s="224" t="s">
        <v>100</v>
      </c>
      <c r="G7" s="224" t="s">
        <v>99</v>
      </c>
      <c r="H7" s="224" t="s">
        <v>115</v>
      </c>
      <c r="I7" s="224" t="s">
        <v>116</v>
      </c>
      <c r="J7" s="224" t="s">
        <v>145</v>
      </c>
      <c r="K7" s="224" t="s">
        <v>316</v>
      </c>
      <c r="L7" s="224" t="s">
        <v>317</v>
      </c>
      <c r="M7" s="224" t="s">
        <v>318</v>
      </c>
      <c r="N7" s="224" t="s">
        <v>319</v>
      </c>
      <c r="O7" s="224" t="s">
        <v>320</v>
      </c>
      <c r="P7" s="224" t="s">
        <v>566</v>
      </c>
      <c r="Q7" s="224" t="s">
        <v>567</v>
      </c>
      <c r="R7" s="339" t="s">
        <v>697</v>
      </c>
      <c r="S7" s="339" t="s">
        <v>698</v>
      </c>
    </row>
    <row r="8" spans="1:19" x14ac:dyDescent="0.25">
      <c r="A8" s="333">
        <v>1</v>
      </c>
      <c r="B8" s="58" t="s">
        <v>682</v>
      </c>
      <c r="C8" s="434">
        <v>903333</v>
      </c>
      <c r="D8" s="435"/>
      <c r="E8" s="435"/>
      <c r="F8" s="435"/>
      <c r="G8" s="435"/>
      <c r="H8" s="435"/>
      <c r="I8" s="435"/>
      <c r="J8" s="435"/>
      <c r="K8" s="435"/>
      <c r="L8" s="435"/>
      <c r="M8" s="435"/>
      <c r="N8" s="435"/>
      <c r="O8" s="435"/>
      <c r="P8" s="435"/>
      <c r="Q8" s="435"/>
      <c r="R8" s="435">
        <f>SUM(C8:Q8)</f>
        <v>903333</v>
      </c>
      <c r="S8" s="435"/>
    </row>
    <row r="9" spans="1:19" x14ac:dyDescent="0.25">
      <c r="A9" s="333">
        <v>2</v>
      </c>
      <c r="B9" s="308" t="s">
        <v>683</v>
      </c>
      <c r="C9" s="434"/>
      <c r="D9" s="435"/>
      <c r="E9" s="435"/>
      <c r="F9" s="435"/>
      <c r="G9" s="435"/>
      <c r="H9" s="435"/>
      <c r="I9" s="435"/>
      <c r="J9" s="435"/>
      <c r="K9" s="435"/>
      <c r="L9" s="435"/>
      <c r="M9" s="435"/>
      <c r="N9" s="435"/>
      <c r="O9" s="435"/>
      <c r="P9" s="435"/>
      <c r="Q9" s="435"/>
      <c r="R9" s="435">
        <f t="shared" ref="R9:R23" si="0">SUM(C9:Q9)</f>
        <v>0</v>
      </c>
      <c r="S9" s="435"/>
    </row>
    <row r="10" spans="1:19" x14ac:dyDescent="0.25">
      <c r="A10" s="333">
        <v>3</v>
      </c>
      <c r="B10" s="308" t="s">
        <v>684</v>
      </c>
      <c r="C10" s="434"/>
      <c r="D10" s="435"/>
      <c r="E10" s="435"/>
      <c r="F10" s="435"/>
      <c r="G10" s="435">
        <v>10929</v>
      </c>
      <c r="H10" s="435"/>
      <c r="I10" s="435"/>
      <c r="J10" s="435"/>
      <c r="K10" s="435"/>
      <c r="L10" s="435"/>
      <c r="M10" s="435"/>
      <c r="N10" s="435"/>
      <c r="O10" s="435"/>
      <c r="P10" s="435"/>
      <c r="Q10" s="435"/>
      <c r="R10" s="435">
        <f t="shared" si="0"/>
        <v>10929</v>
      </c>
      <c r="S10" s="435"/>
    </row>
    <row r="11" spans="1:19" x14ac:dyDescent="0.25">
      <c r="A11" s="333">
        <v>4</v>
      </c>
      <c r="B11" s="308" t="s">
        <v>685</v>
      </c>
      <c r="C11" s="434"/>
      <c r="D11" s="435"/>
      <c r="E11" s="435"/>
      <c r="F11" s="435"/>
      <c r="G11" s="435"/>
      <c r="H11" s="435"/>
      <c r="I11" s="435"/>
      <c r="J11" s="435"/>
      <c r="K11" s="435"/>
      <c r="L11" s="435"/>
      <c r="M11" s="435"/>
      <c r="N11" s="435"/>
      <c r="O11" s="435"/>
      <c r="P11" s="435"/>
      <c r="Q11" s="435"/>
      <c r="R11" s="435">
        <f t="shared" si="0"/>
        <v>0</v>
      </c>
      <c r="S11" s="435"/>
    </row>
    <row r="12" spans="1:19" x14ac:dyDescent="0.25">
      <c r="A12" s="333">
        <v>5</v>
      </c>
      <c r="B12" s="308" t="s">
        <v>686</v>
      </c>
      <c r="C12" s="434"/>
      <c r="D12" s="435"/>
      <c r="E12" s="435"/>
      <c r="F12" s="435"/>
      <c r="G12" s="435"/>
      <c r="H12" s="435"/>
      <c r="I12" s="435"/>
      <c r="J12" s="435"/>
      <c r="K12" s="435"/>
      <c r="L12" s="435"/>
      <c r="M12" s="435"/>
      <c r="N12" s="435"/>
      <c r="O12" s="435"/>
      <c r="P12" s="435"/>
      <c r="Q12" s="435"/>
      <c r="R12" s="435">
        <f t="shared" si="0"/>
        <v>0</v>
      </c>
      <c r="S12" s="435"/>
    </row>
    <row r="13" spans="1:19" x14ac:dyDescent="0.25">
      <c r="A13" s="333">
        <v>6</v>
      </c>
      <c r="B13" s="308" t="s">
        <v>460</v>
      </c>
      <c r="C13" s="434"/>
      <c r="D13" s="435"/>
      <c r="E13" s="435"/>
      <c r="F13" s="435"/>
      <c r="G13" s="436">
        <v>35863</v>
      </c>
      <c r="H13" s="436"/>
      <c r="I13" s="436">
        <v>54</v>
      </c>
      <c r="J13" s="435"/>
      <c r="K13" s="435"/>
      <c r="L13" s="435"/>
      <c r="M13" s="435"/>
      <c r="N13" s="435"/>
      <c r="O13" s="435"/>
      <c r="P13" s="435"/>
      <c r="Q13" s="435"/>
      <c r="R13" s="435">
        <f t="shared" si="0"/>
        <v>35917</v>
      </c>
      <c r="S13" s="435"/>
    </row>
    <row r="14" spans="1:19" x14ac:dyDescent="0.25">
      <c r="A14" s="333">
        <v>7</v>
      </c>
      <c r="B14" s="308" t="s">
        <v>466</v>
      </c>
      <c r="C14" s="434"/>
      <c r="D14" s="435"/>
      <c r="E14" s="435"/>
      <c r="F14" s="435"/>
      <c r="G14" s="435"/>
      <c r="H14" s="435"/>
      <c r="I14" s="435"/>
      <c r="J14" s="435"/>
      <c r="K14" s="435"/>
      <c r="L14" s="435">
        <v>326703</v>
      </c>
      <c r="M14" s="435"/>
      <c r="N14" s="435"/>
      <c r="O14" s="435"/>
      <c r="P14" s="435"/>
      <c r="Q14" s="435"/>
      <c r="R14" s="435">
        <f t="shared" si="0"/>
        <v>326703</v>
      </c>
      <c r="S14" s="435"/>
    </row>
    <row r="15" spans="1:19" x14ac:dyDescent="0.25">
      <c r="A15" s="333">
        <v>8</v>
      </c>
      <c r="B15" s="308" t="s">
        <v>464</v>
      </c>
      <c r="C15" s="434"/>
      <c r="D15" s="435"/>
      <c r="E15" s="435"/>
      <c r="F15" s="435"/>
      <c r="G15" s="435"/>
      <c r="H15" s="435"/>
      <c r="I15" s="435"/>
      <c r="J15" s="435"/>
      <c r="K15" s="435">
        <v>2246227</v>
      </c>
      <c r="L15" s="435"/>
      <c r="M15" s="435"/>
      <c r="N15" s="435"/>
      <c r="O15" s="435"/>
      <c r="P15" s="435"/>
      <c r="Q15" s="435"/>
      <c r="R15" s="435">
        <f t="shared" si="0"/>
        <v>2246227</v>
      </c>
      <c r="S15" s="435"/>
    </row>
    <row r="16" spans="1:19" ht="30" x14ac:dyDescent="0.25">
      <c r="A16" s="333">
        <v>9</v>
      </c>
      <c r="B16" s="308" t="s">
        <v>699</v>
      </c>
      <c r="C16" s="434"/>
      <c r="D16" s="435"/>
      <c r="E16" s="435"/>
      <c r="F16" s="435"/>
      <c r="G16" s="435"/>
      <c r="H16" s="435">
        <v>505190</v>
      </c>
      <c r="I16" s="435">
        <v>6547</v>
      </c>
      <c r="J16" s="435"/>
      <c r="K16" s="435"/>
      <c r="L16" s="435"/>
      <c r="M16" s="435"/>
      <c r="N16" s="435"/>
      <c r="O16" s="435"/>
      <c r="P16" s="435"/>
      <c r="Q16" s="435"/>
      <c r="R16" s="435">
        <f t="shared" si="0"/>
        <v>511737</v>
      </c>
      <c r="S16" s="435"/>
    </row>
    <row r="17" spans="1:19" x14ac:dyDescent="0.25">
      <c r="A17" s="333">
        <v>10</v>
      </c>
      <c r="B17" s="308" t="s">
        <v>468</v>
      </c>
      <c r="C17" s="434"/>
      <c r="D17" s="435"/>
      <c r="E17" s="435"/>
      <c r="F17" s="435"/>
      <c r="G17" s="435"/>
      <c r="H17" s="435"/>
      <c r="I17" s="435"/>
      <c r="J17" s="435"/>
      <c r="K17" s="435"/>
      <c r="L17" s="435">
        <v>130225</v>
      </c>
      <c r="M17" s="435">
        <v>61186</v>
      </c>
      <c r="N17" s="435"/>
      <c r="O17" s="435"/>
      <c r="P17" s="435"/>
      <c r="Q17" s="435"/>
      <c r="R17" s="435">
        <f t="shared" si="0"/>
        <v>191411</v>
      </c>
      <c r="S17" s="435"/>
    </row>
    <row r="18" spans="1:19" ht="30" x14ac:dyDescent="0.25">
      <c r="A18" s="333">
        <v>11</v>
      </c>
      <c r="B18" s="308" t="s">
        <v>688</v>
      </c>
      <c r="C18" s="434"/>
      <c r="D18" s="435"/>
      <c r="E18" s="435"/>
      <c r="F18" s="435"/>
      <c r="G18" s="435"/>
      <c r="H18" s="435"/>
      <c r="I18" s="435"/>
      <c r="J18" s="435"/>
      <c r="K18" s="435"/>
      <c r="L18" s="435"/>
      <c r="M18" s="435"/>
      <c r="N18" s="435"/>
      <c r="O18" s="435"/>
      <c r="P18" s="435"/>
      <c r="Q18" s="435"/>
      <c r="R18" s="435">
        <f t="shared" si="0"/>
        <v>0</v>
      </c>
      <c r="S18" s="435"/>
    </row>
    <row r="19" spans="1:19" ht="30" x14ac:dyDescent="0.25">
      <c r="A19" s="333">
        <v>12</v>
      </c>
      <c r="B19" s="308" t="s">
        <v>454</v>
      </c>
      <c r="C19" s="434"/>
      <c r="D19" s="435"/>
      <c r="E19" s="435"/>
      <c r="F19" s="435"/>
      <c r="G19" s="435"/>
      <c r="H19" s="435"/>
      <c r="I19" s="435"/>
      <c r="J19" s="435"/>
      <c r="K19" s="435"/>
      <c r="L19" s="435"/>
      <c r="M19" s="435"/>
      <c r="N19" s="435"/>
      <c r="O19" s="435"/>
      <c r="P19" s="435"/>
      <c r="Q19" s="435"/>
      <c r="R19" s="435">
        <f t="shared" si="0"/>
        <v>0</v>
      </c>
      <c r="S19" s="435"/>
    </row>
    <row r="20" spans="1:19" ht="30" x14ac:dyDescent="0.25">
      <c r="A20" s="333">
        <v>13</v>
      </c>
      <c r="B20" s="308" t="s">
        <v>700</v>
      </c>
      <c r="C20" s="434"/>
      <c r="D20" s="435"/>
      <c r="E20" s="435"/>
      <c r="F20" s="435"/>
      <c r="G20" s="435"/>
      <c r="H20" s="435"/>
      <c r="I20" s="435"/>
      <c r="J20" s="435"/>
      <c r="K20" s="435"/>
      <c r="L20" s="435"/>
      <c r="M20" s="435"/>
      <c r="N20" s="435"/>
      <c r="O20" s="435"/>
      <c r="P20" s="435"/>
      <c r="Q20" s="435"/>
      <c r="R20" s="435">
        <f t="shared" si="0"/>
        <v>0</v>
      </c>
      <c r="S20" s="435"/>
    </row>
    <row r="21" spans="1:19" x14ac:dyDescent="0.25">
      <c r="A21" s="333">
        <v>14</v>
      </c>
      <c r="B21" s="308" t="s">
        <v>701</v>
      </c>
      <c r="C21" s="434"/>
      <c r="D21" s="435"/>
      <c r="E21" s="435"/>
      <c r="F21" s="435"/>
      <c r="G21" s="435"/>
      <c r="H21" s="435"/>
      <c r="I21" s="435"/>
      <c r="J21" s="435"/>
      <c r="K21" s="435"/>
      <c r="L21" s="435"/>
      <c r="M21" s="435"/>
      <c r="N21" s="435"/>
      <c r="O21" s="435"/>
      <c r="P21" s="435"/>
      <c r="Q21" s="435"/>
      <c r="R21" s="435">
        <f t="shared" si="0"/>
        <v>0</v>
      </c>
      <c r="S21" s="435"/>
    </row>
    <row r="22" spans="1:19" x14ac:dyDescent="0.25">
      <c r="A22" s="333">
        <v>15</v>
      </c>
      <c r="B22" s="308" t="s">
        <v>702</v>
      </c>
      <c r="C22" s="434"/>
      <c r="D22" s="435"/>
      <c r="E22" s="435"/>
      <c r="F22" s="435"/>
      <c r="G22" s="435"/>
      <c r="H22" s="435"/>
      <c r="I22" s="435"/>
      <c r="J22" s="435"/>
      <c r="K22" s="435"/>
      <c r="L22" s="435">
        <v>55271</v>
      </c>
      <c r="M22" s="435"/>
      <c r="N22" s="435"/>
      <c r="O22" s="435"/>
      <c r="P22" s="435"/>
      <c r="Q22" s="435"/>
      <c r="R22" s="435">
        <f t="shared" si="0"/>
        <v>55271</v>
      </c>
      <c r="S22" s="435"/>
    </row>
    <row r="23" spans="1:19" x14ac:dyDescent="0.25">
      <c r="A23" s="333">
        <v>16</v>
      </c>
      <c r="B23" s="308" t="s">
        <v>692</v>
      </c>
      <c r="C23" s="434">
        <v>17917</v>
      </c>
      <c r="D23" s="435"/>
      <c r="E23" s="435"/>
      <c r="F23" s="435"/>
      <c r="G23" s="435"/>
      <c r="H23" s="435"/>
      <c r="I23" s="435"/>
      <c r="J23" s="435"/>
      <c r="K23" s="435"/>
      <c r="L23" s="435">
        <v>106552</v>
      </c>
      <c r="M23" s="435"/>
      <c r="N23" s="435"/>
      <c r="O23" s="435"/>
      <c r="P23" s="435"/>
      <c r="Q23" s="435"/>
      <c r="R23" s="435">
        <f t="shared" si="0"/>
        <v>124469</v>
      </c>
      <c r="S23" s="435"/>
    </row>
    <row r="24" spans="1:19" x14ac:dyDescent="0.25">
      <c r="A24" s="334">
        <v>17</v>
      </c>
      <c r="B24" s="335" t="s">
        <v>693</v>
      </c>
      <c r="C24" s="434">
        <f>SUM(C8:C23)</f>
        <v>921250</v>
      </c>
      <c r="D24" s="434">
        <f t="shared" ref="D24:R24" si="1">SUM(D8:D23)</f>
        <v>0</v>
      </c>
      <c r="E24" s="434">
        <f t="shared" si="1"/>
        <v>0</v>
      </c>
      <c r="F24" s="434">
        <f t="shared" si="1"/>
        <v>0</v>
      </c>
      <c r="G24" s="434">
        <f t="shared" si="1"/>
        <v>46792</v>
      </c>
      <c r="H24" s="434">
        <f t="shared" si="1"/>
        <v>505190</v>
      </c>
      <c r="I24" s="434">
        <f t="shared" si="1"/>
        <v>6601</v>
      </c>
      <c r="J24" s="434">
        <f t="shared" si="1"/>
        <v>0</v>
      </c>
      <c r="K24" s="434">
        <f t="shared" si="1"/>
        <v>2246227</v>
      </c>
      <c r="L24" s="434">
        <f t="shared" si="1"/>
        <v>618751</v>
      </c>
      <c r="M24" s="434">
        <f t="shared" si="1"/>
        <v>61186</v>
      </c>
      <c r="N24" s="434">
        <f t="shared" si="1"/>
        <v>0</v>
      </c>
      <c r="O24" s="434">
        <f t="shared" si="1"/>
        <v>0</v>
      </c>
      <c r="P24" s="434">
        <f t="shared" si="1"/>
        <v>0</v>
      </c>
      <c r="Q24" s="434">
        <f t="shared" si="1"/>
        <v>0</v>
      </c>
      <c r="R24" s="434">
        <f t="shared" si="1"/>
        <v>4405997</v>
      </c>
      <c r="S24" s="435"/>
    </row>
  </sheetData>
  <sheetProtection algorithmName="SHA-512" hashValue="2Fp4oA0PzLf+eGgpTfmlFRSbRIS6+bL8gbj+GjcPMEjHRft4ZajhDR40S51kZtLgNhgW47t4he+fWWfS21xaGA==" saltValue="qFUKDqx7f7CWC0Lgp2rxRg==" spinCount="100000" sheet="1" objects="1" scenarios="1"/>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50" orientation="landscape" r:id="rId1"/>
  <headerFooter>
    <oddHeader>&amp;CDA
Bilag 23</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40A56-32E4-4BBE-8D9B-33E0578A95D9}">
  <sheetPr>
    <tabColor theme="0" tint="-0.14999847407452621"/>
    <pageSetUpPr fitToPage="1"/>
  </sheetPr>
  <dimension ref="A1:G19"/>
  <sheetViews>
    <sheetView workbookViewId="0"/>
  </sheetViews>
  <sheetFormatPr defaultColWidth="11.42578125" defaultRowHeight="15" x14ac:dyDescent="0.25"/>
  <cols>
    <col min="1" max="1" width="6.7109375" customWidth="1"/>
    <col min="2" max="2" width="41.7109375" customWidth="1"/>
    <col min="3" max="3" width="22.7109375" customWidth="1"/>
    <col min="4" max="4" width="15.28515625" customWidth="1"/>
    <col min="6" max="6" width="50.85546875" customWidth="1"/>
    <col min="7" max="7" width="7.42578125" customWidth="1"/>
    <col min="8" max="8" width="42" customWidth="1"/>
  </cols>
  <sheetData>
    <row r="1" spans="1:7" s="65" customFormat="1" ht="40.5" customHeight="1" x14ac:dyDescent="0.25">
      <c r="A1" s="345" t="s">
        <v>710</v>
      </c>
      <c r="B1" s="345"/>
      <c r="C1" s="346"/>
      <c r="D1" s="346"/>
    </row>
    <row r="2" spans="1:7" x14ac:dyDescent="0.25">
      <c r="A2" s="341"/>
      <c r="B2" s="341"/>
      <c r="C2" s="347" t="s">
        <v>2</v>
      </c>
    </row>
    <row r="3" spans="1:7" ht="38.25" customHeight="1" x14ac:dyDescent="0.25">
      <c r="A3" s="348"/>
      <c r="B3" s="349"/>
      <c r="C3" s="350" t="s">
        <v>714</v>
      </c>
    </row>
    <row r="4" spans="1:7" x14ac:dyDescent="0.25">
      <c r="A4" s="348"/>
      <c r="B4" s="351" t="s">
        <v>715</v>
      </c>
      <c r="C4" s="352"/>
      <c r="G4" s="353"/>
    </row>
    <row r="5" spans="1:7" ht="15.75" customHeight="1" x14ac:dyDescent="0.25">
      <c r="A5" s="354">
        <v>1</v>
      </c>
      <c r="B5" s="355" t="s">
        <v>716</v>
      </c>
      <c r="C5" s="420">
        <v>215606</v>
      </c>
      <c r="F5" s="513"/>
      <c r="G5" s="353"/>
    </row>
    <row r="6" spans="1:7" x14ac:dyDescent="0.25">
      <c r="A6" s="354">
        <v>2</v>
      </c>
      <c r="B6" s="355" t="s">
        <v>717</v>
      </c>
      <c r="C6" s="420">
        <v>17281</v>
      </c>
      <c r="G6" s="353"/>
    </row>
    <row r="7" spans="1:7" x14ac:dyDescent="0.25">
      <c r="A7" s="354">
        <v>3</v>
      </c>
      <c r="B7" s="355" t="s">
        <v>718</v>
      </c>
      <c r="C7" s="420"/>
      <c r="G7" s="353"/>
    </row>
    <row r="8" spans="1:7" x14ac:dyDescent="0.25">
      <c r="A8" s="354">
        <v>4</v>
      </c>
      <c r="B8" s="355" t="s">
        <v>719</v>
      </c>
      <c r="C8" s="420"/>
    </row>
    <row r="9" spans="1:7" x14ac:dyDescent="0.25">
      <c r="A9" s="354"/>
      <c r="B9" s="356" t="s">
        <v>720</v>
      </c>
      <c r="C9" s="421"/>
    </row>
    <row r="10" spans="1:7" x14ac:dyDescent="0.25">
      <c r="A10" s="354">
        <v>5</v>
      </c>
      <c r="B10" s="357" t="s">
        <v>721</v>
      </c>
      <c r="C10" s="420"/>
    </row>
    <row r="11" spans="1:7" x14ac:dyDescent="0.25">
      <c r="A11" s="354">
        <v>6</v>
      </c>
      <c r="B11" s="357" t="s">
        <v>722</v>
      </c>
      <c r="C11" s="420"/>
    </row>
    <row r="12" spans="1:7" x14ac:dyDescent="0.25">
      <c r="A12" s="354">
        <v>7</v>
      </c>
      <c r="B12" s="357" t="s">
        <v>723</v>
      </c>
      <c r="C12" s="420"/>
    </row>
    <row r="13" spans="1:7" x14ac:dyDescent="0.25">
      <c r="A13" s="354">
        <v>8</v>
      </c>
      <c r="B13" s="349" t="s">
        <v>724</v>
      </c>
      <c r="C13" s="420"/>
    </row>
    <row r="14" spans="1:7" x14ac:dyDescent="0.25">
      <c r="A14" s="354">
        <v>9</v>
      </c>
      <c r="B14" s="356" t="s">
        <v>38</v>
      </c>
      <c r="C14" s="420">
        <f>SUM(C5:C13)</f>
        <v>232887</v>
      </c>
    </row>
    <row r="18" ht="50.25" customHeight="1" x14ac:dyDescent="0.25"/>
    <row r="19" ht="50.25" customHeight="1" x14ac:dyDescent="0.25"/>
  </sheetData>
  <sheetProtection algorithmName="SHA-512" hashValue="efbPYht3sUOAVT78/MFlDdOQWJgd5VmR/mnFdISEyNiV0qmuh/r17ZffLcujva+Big5W86+jM07rPPbgiETGLg==" saltValue="EjT2OQfiuNv1cJYy/a0E5A==" spinCount="100000" sheet="1" objects="1" scenarios="1"/>
  <pageMargins left="0.70866141732283472" right="0.70866141732283472" top="0.74803149606299213" bottom="0.74803149606299213" header="0.31496062992125984" footer="0.31496062992125984"/>
  <pageSetup paperSize="9" orientation="landscape" r:id="rId1"/>
  <headerFooter>
    <oddHeader>&amp;CDA
Bilag XXIX</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A0575-1A7A-4596-91AA-A7A2DD99C254}">
  <sheetPr>
    <tabColor theme="0" tint="-0.14999847407452621"/>
  </sheetPr>
  <dimension ref="A1:M18"/>
  <sheetViews>
    <sheetView topLeftCell="A7" workbookViewId="0">
      <selection activeCell="A7" sqref="A7"/>
    </sheetView>
  </sheetViews>
  <sheetFormatPr defaultColWidth="9.140625" defaultRowHeight="15" x14ac:dyDescent="0.25"/>
  <cols>
    <col min="1" max="1" width="11.28515625" customWidth="1"/>
    <col min="2" max="2" width="43.7109375" customWidth="1"/>
    <col min="3" max="5" width="22.28515625" customWidth="1"/>
    <col min="6" max="8" width="22.28515625" hidden="1" customWidth="1"/>
    <col min="9" max="10" width="22.28515625" customWidth="1"/>
    <col min="12" max="12" width="13.140625" style="39" customWidth="1"/>
    <col min="13" max="13" width="52.42578125" customWidth="1"/>
  </cols>
  <sheetData>
    <row r="1" spans="1:13" hidden="1" x14ac:dyDescent="0.25"/>
    <row r="2" spans="1:13" hidden="1" x14ac:dyDescent="0.25">
      <c r="M2" s="343"/>
    </row>
    <row r="3" spans="1:13" ht="31.5" hidden="1" customHeight="1" x14ac:dyDescent="0.25">
      <c r="A3" s="668" t="s">
        <v>726</v>
      </c>
      <c r="B3" s="671" t="s">
        <v>727</v>
      </c>
      <c r="C3" s="672"/>
      <c r="D3" s="672"/>
      <c r="E3" s="672"/>
      <c r="F3" s="672"/>
      <c r="G3" s="672"/>
      <c r="H3" s="672"/>
      <c r="I3" s="672"/>
      <c r="J3" s="672"/>
      <c r="K3" s="673"/>
      <c r="M3" s="344"/>
    </row>
    <row r="4" spans="1:13" ht="32.25" hidden="1" customHeight="1" x14ac:dyDescent="0.25">
      <c r="A4" s="669"/>
      <c r="B4" s="674" t="s">
        <v>728</v>
      </c>
      <c r="C4" s="675"/>
      <c r="D4" s="675"/>
      <c r="E4" s="675"/>
      <c r="F4" s="675"/>
      <c r="G4" s="675"/>
      <c r="H4" s="675"/>
      <c r="I4" s="675"/>
      <c r="J4" s="675"/>
      <c r="K4" s="676"/>
    </row>
    <row r="5" spans="1:13" ht="25.5" hidden="1" customHeight="1" x14ac:dyDescent="0.25">
      <c r="A5" s="670"/>
      <c r="B5" s="671" t="s">
        <v>729</v>
      </c>
      <c r="C5" s="672"/>
      <c r="D5" s="672"/>
      <c r="E5" s="672"/>
      <c r="F5" s="672"/>
      <c r="G5" s="672"/>
      <c r="H5" s="672"/>
      <c r="I5" s="672"/>
      <c r="J5" s="672"/>
      <c r="K5" s="673"/>
    </row>
    <row r="6" spans="1:13" hidden="1" x14ac:dyDescent="0.25">
      <c r="A6" s="358"/>
      <c r="B6" s="310"/>
      <c r="C6" s="310"/>
      <c r="D6" s="310"/>
      <c r="E6" s="310"/>
      <c r="F6" s="310"/>
      <c r="G6" s="310"/>
      <c r="H6" s="310"/>
      <c r="I6" s="310"/>
      <c r="J6" s="310"/>
      <c r="K6" s="310"/>
    </row>
    <row r="7" spans="1:13" s="360" customFormat="1" ht="18.75" x14ac:dyDescent="0.25">
      <c r="A7" s="359" t="s">
        <v>730</v>
      </c>
      <c r="C7" s="361"/>
    </row>
    <row r="8" spans="1:13" s="360" customFormat="1" x14ac:dyDescent="0.25"/>
    <row r="9" spans="1:13" s="360" customFormat="1" x14ac:dyDescent="0.25">
      <c r="A9"/>
    </row>
    <row r="10" spans="1:13" s="360" customFormat="1" x14ac:dyDescent="0.25">
      <c r="A10"/>
    </row>
    <row r="11" spans="1:13" ht="13.5" customHeight="1" x14ac:dyDescent="0.25">
      <c r="A11" s="677" t="s">
        <v>731</v>
      </c>
      <c r="B11" s="677"/>
      <c r="C11" s="362" t="s">
        <v>2</v>
      </c>
      <c r="D11" s="362" t="s">
        <v>3</v>
      </c>
      <c r="E11" s="362" t="s">
        <v>4</v>
      </c>
      <c r="F11" s="362" t="s">
        <v>586</v>
      </c>
      <c r="G11" s="362" t="s">
        <v>588</v>
      </c>
      <c r="H11" s="362"/>
      <c r="I11" s="362" t="s">
        <v>100</v>
      </c>
      <c r="J11" s="363" t="s">
        <v>99</v>
      </c>
    </row>
    <row r="12" spans="1:13" ht="15" customHeight="1" x14ac:dyDescent="0.25">
      <c r="A12" s="677"/>
      <c r="B12" s="677"/>
      <c r="C12" s="677" t="s">
        <v>732</v>
      </c>
      <c r="D12" s="677"/>
      <c r="E12" s="677"/>
      <c r="F12" s="364" t="s">
        <v>733</v>
      </c>
      <c r="G12" s="364" t="s">
        <v>734</v>
      </c>
      <c r="H12" s="364"/>
      <c r="I12" s="546" t="s">
        <v>324</v>
      </c>
      <c r="J12" s="546" t="s">
        <v>735</v>
      </c>
    </row>
    <row r="13" spans="1:13" x14ac:dyDescent="0.25">
      <c r="A13" s="677"/>
      <c r="B13" s="677"/>
      <c r="C13" s="364" t="s">
        <v>736</v>
      </c>
      <c r="D13" s="364" t="s">
        <v>737</v>
      </c>
      <c r="E13" s="364" t="s">
        <v>738</v>
      </c>
      <c r="F13" s="364" t="s">
        <v>739</v>
      </c>
      <c r="G13" s="364"/>
      <c r="H13" s="364"/>
      <c r="I13" s="546"/>
      <c r="J13" s="546"/>
    </row>
    <row r="14" spans="1:13" ht="38.25" customHeight="1" x14ac:dyDescent="0.25">
      <c r="A14" s="364">
        <v>1</v>
      </c>
      <c r="B14" s="365" t="s">
        <v>740</v>
      </c>
      <c r="C14" s="419">
        <v>209298</v>
      </c>
      <c r="D14" s="419">
        <v>228881</v>
      </c>
      <c r="E14" s="419">
        <v>208558</v>
      </c>
      <c r="F14" s="419"/>
      <c r="G14" s="419"/>
      <c r="H14" s="419"/>
      <c r="I14" s="419">
        <v>32337</v>
      </c>
      <c r="J14" s="419">
        <v>404211</v>
      </c>
      <c r="L14" s="512"/>
    </row>
    <row r="15" spans="1:13" ht="30" x14ac:dyDescent="0.25">
      <c r="A15" s="364">
        <v>2</v>
      </c>
      <c r="B15" s="366" t="s">
        <v>741</v>
      </c>
      <c r="C15" s="364"/>
      <c r="D15" s="364"/>
      <c r="E15" s="364"/>
      <c r="F15" s="364"/>
      <c r="G15" s="364"/>
      <c r="H15" s="364"/>
      <c r="I15" s="364"/>
      <c r="J15" s="364"/>
    </row>
    <row r="16" spans="1:13" ht="38.25" customHeight="1" x14ac:dyDescent="0.25">
      <c r="A16" s="364">
        <v>3</v>
      </c>
      <c r="B16" s="367" t="s">
        <v>742</v>
      </c>
      <c r="C16" s="364"/>
      <c r="D16" s="364"/>
      <c r="E16" s="364"/>
      <c r="F16" s="364"/>
      <c r="G16" s="364"/>
      <c r="H16" s="364"/>
      <c r="I16" s="368"/>
      <c r="J16" s="369"/>
    </row>
    <row r="17" spans="1:10" ht="38.25" customHeight="1" x14ac:dyDescent="0.25">
      <c r="A17" s="364">
        <v>4</v>
      </c>
      <c r="B17" s="367" t="s">
        <v>743</v>
      </c>
      <c r="C17" s="364"/>
      <c r="D17" s="364"/>
      <c r="E17" s="364"/>
      <c r="F17" s="370"/>
      <c r="G17" s="371"/>
      <c r="H17" s="371"/>
      <c r="I17" s="368"/>
      <c r="J17" s="372"/>
    </row>
    <row r="18" spans="1:10" ht="38.25" customHeight="1" x14ac:dyDescent="0.25">
      <c r="A18" s="373">
        <v>5</v>
      </c>
      <c r="B18" s="365" t="s">
        <v>744</v>
      </c>
      <c r="C18" s="364"/>
      <c r="D18" s="364"/>
      <c r="E18" s="364"/>
      <c r="F18" s="371"/>
      <c r="G18" s="371"/>
      <c r="H18" s="371"/>
      <c r="I18" s="364"/>
      <c r="J18" s="364"/>
    </row>
  </sheetData>
  <sheetProtection algorithmName="SHA-512" hashValue="Jnk29eqr/JDSuSm0spsfwTNHcu5Kmm2cHnWm2Pw8W7Zc8nN+4BqWpdHqii2XufB+GOMiLqJU4ZUW++PJPVHw4g==" saltValue="MrESE7+EGWQsRpegsIqSYw==" spinCount="100000" sheet="1" objects="1" scenarios="1"/>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&amp;CDA
Bilag XXXI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833A1-E898-42CC-83BC-52D5FAD8EF37}">
  <sheetPr>
    <tabColor theme="0" tint="-0.14999847407452621"/>
    <pageSetUpPr fitToPage="1"/>
  </sheetPr>
  <dimension ref="A1:I27"/>
  <sheetViews>
    <sheetView zoomScale="80" zoomScaleNormal="80" workbookViewId="0"/>
  </sheetViews>
  <sheetFormatPr defaultColWidth="9.140625" defaultRowHeight="15" x14ac:dyDescent="0.25"/>
  <cols>
    <col min="1" max="1" width="9.140625" style="2"/>
    <col min="2" max="2" width="9.5703125" style="2" customWidth="1"/>
    <col min="3" max="3" width="8.140625" style="2" customWidth="1"/>
    <col min="4" max="4" width="9.140625" style="2"/>
    <col min="5" max="5" width="72.42578125" style="2" customWidth="1"/>
    <col min="6" max="9" width="25.7109375" style="2" customWidth="1"/>
    <col min="10" max="16384" width="9.140625" style="2"/>
  </cols>
  <sheetData>
    <row r="1" spans="1:9" x14ac:dyDescent="0.25">
      <c r="C1" s="3" t="s">
        <v>745</v>
      </c>
    </row>
    <row r="2" spans="1:9" x14ac:dyDescent="0.25">
      <c r="F2" s="2" t="s">
        <v>827</v>
      </c>
      <c r="G2" s="2" t="s">
        <v>828</v>
      </c>
      <c r="I2" s="2" t="s">
        <v>829</v>
      </c>
    </row>
    <row r="3" spans="1:9" x14ac:dyDescent="0.25">
      <c r="F3" s="342" t="s">
        <v>2</v>
      </c>
      <c r="G3" s="342" t="s">
        <v>3</v>
      </c>
      <c r="H3" s="342" t="s">
        <v>4</v>
      </c>
      <c r="I3" s="342" t="s">
        <v>100</v>
      </c>
    </row>
    <row r="4" spans="1:9" ht="30" x14ac:dyDescent="0.25">
      <c r="C4" s="678"/>
      <c r="D4" s="678"/>
      <c r="E4" s="678"/>
      <c r="F4" s="507" t="s">
        <v>750</v>
      </c>
      <c r="G4" s="507" t="s">
        <v>751</v>
      </c>
      <c r="H4" s="507" t="s">
        <v>752</v>
      </c>
      <c r="I4" s="507" t="s">
        <v>753</v>
      </c>
    </row>
    <row r="5" spans="1:9" ht="15" customHeight="1" x14ac:dyDescent="0.25">
      <c r="A5" s="374"/>
      <c r="B5" s="342">
        <v>1</v>
      </c>
      <c r="C5" s="679" t="s">
        <v>754</v>
      </c>
      <c r="D5" s="680"/>
      <c r="E5" s="375" t="s">
        <v>755</v>
      </c>
      <c r="F5" s="288">
        <v>6</v>
      </c>
      <c r="G5" s="288">
        <v>1</v>
      </c>
      <c r="H5" s="288"/>
      <c r="I5" s="517">
        <f>SUM('REM5'!F9:K9)</f>
        <v>10</v>
      </c>
    </row>
    <row r="6" spans="1:9" x14ac:dyDescent="0.25">
      <c r="B6" s="342">
        <v>2</v>
      </c>
      <c r="C6" s="681"/>
      <c r="D6" s="526"/>
      <c r="E6" s="375" t="s">
        <v>756</v>
      </c>
      <c r="F6" s="288">
        <v>1040</v>
      </c>
      <c r="G6" s="288">
        <v>3299</v>
      </c>
      <c r="H6" s="288"/>
      <c r="I6" s="517">
        <f>SUM('REM5'!F10:K10)</f>
        <v>10663</v>
      </c>
    </row>
    <row r="7" spans="1:9" x14ac:dyDescent="0.25">
      <c r="B7" s="342">
        <v>3</v>
      </c>
      <c r="C7" s="681"/>
      <c r="D7" s="526"/>
      <c r="E7" s="376" t="s">
        <v>757</v>
      </c>
      <c r="F7" s="288">
        <v>1040</v>
      </c>
      <c r="G7" s="288">
        <v>3299</v>
      </c>
      <c r="H7" s="288"/>
      <c r="I7" s="517">
        <f>+I6</f>
        <v>10663</v>
      </c>
    </row>
    <row r="8" spans="1:9" x14ac:dyDescent="0.25">
      <c r="B8" s="342">
        <v>4</v>
      </c>
      <c r="C8" s="681"/>
      <c r="D8" s="526"/>
      <c r="E8" s="376" t="s">
        <v>758</v>
      </c>
      <c r="F8" s="442"/>
      <c r="G8" s="442"/>
      <c r="H8" s="442"/>
      <c r="I8" s="442"/>
    </row>
    <row r="9" spans="1:9" x14ac:dyDescent="0.25">
      <c r="B9" s="342" t="s">
        <v>759</v>
      </c>
      <c r="C9" s="681"/>
      <c r="D9" s="526"/>
      <c r="E9" s="377" t="s">
        <v>760</v>
      </c>
      <c r="F9" s="288"/>
      <c r="G9" s="288"/>
      <c r="H9" s="288"/>
      <c r="I9" s="288"/>
    </row>
    <row r="10" spans="1:9" ht="30" x14ac:dyDescent="0.25">
      <c r="B10" s="342">
        <v>5</v>
      </c>
      <c r="C10" s="681"/>
      <c r="D10" s="526"/>
      <c r="E10" s="377" t="s">
        <v>761</v>
      </c>
      <c r="F10" s="288"/>
      <c r="G10" s="288"/>
      <c r="H10" s="288"/>
      <c r="I10" s="288"/>
    </row>
    <row r="11" spans="1:9" x14ac:dyDescent="0.25">
      <c r="B11" s="342" t="s">
        <v>762</v>
      </c>
      <c r="C11" s="681"/>
      <c r="D11" s="526"/>
      <c r="E11" s="376" t="s">
        <v>763</v>
      </c>
      <c r="F11" s="288"/>
      <c r="G11" s="288"/>
      <c r="H11" s="288"/>
      <c r="I11" s="288"/>
    </row>
    <row r="12" spans="1:9" x14ac:dyDescent="0.25">
      <c r="B12" s="342">
        <v>6</v>
      </c>
      <c r="C12" s="681"/>
      <c r="D12" s="526"/>
      <c r="E12" s="376" t="s">
        <v>758</v>
      </c>
      <c r="F12" s="442"/>
      <c r="G12" s="442"/>
      <c r="H12" s="442"/>
      <c r="I12" s="442"/>
    </row>
    <row r="13" spans="1:9" x14ac:dyDescent="0.25">
      <c r="B13" s="342">
        <v>7</v>
      </c>
      <c r="C13" s="681"/>
      <c r="D13" s="526"/>
      <c r="E13" s="376" t="s">
        <v>764</v>
      </c>
      <c r="F13" s="288"/>
      <c r="G13" s="288"/>
      <c r="H13" s="288"/>
      <c r="I13" s="288"/>
    </row>
    <row r="14" spans="1:9" x14ac:dyDescent="0.25">
      <c r="B14" s="342">
        <v>8</v>
      </c>
      <c r="C14" s="682"/>
      <c r="D14" s="528"/>
      <c r="E14" s="376" t="s">
        <v>758</v>
      </c>
      <c r="F14" s="442"/>
      <c r="G14" s="442"/>
      <c r="H14" s="442"/>
      <c r="I14" s="442"/>
    </row>
    <row r="15" spans="1:9" x14ac:dyDescent="0.25">
      <c r="B15" s="342">
        <v>9</v>
      </c>
      <c r="C15" s="683" t="s">
        <v>765</v>
      </c>
      <c r="D15" s="683"/>
      <c r="E15" s="375" t="s">
        <v>755</v>
      </c>
      <c r="F15" s="288"/>
      <c r="G15" s="288"/>
      <c r="H15" s="288"/>
      <c r="I15" s="288"/>
    </row>
    <row r="16" spans="1:9" x14ac:dyDescent="0.25">
      <c r="B16" s="342">
        <v>10</v>
      </c>
      <c r="C16" s="683"/>
      <c r="D16" s="683"/>
      <c r="E16" s="375" t="s">
        <v>766</v>
      </c>
      <c r="F16" s="288"/>
      <c r="G16" s="288"/>
      <c r="H16" s="288"/>
      <c r="I16" s="288"/>
    </row>
    <row r="17" spans="2:9" x14ac:dyDescent="0.25">
      <c r="B17" s="342">
        <v>11</v>
      </c>
      <c r="C17" s="683"/>
      <c r="D17" s="683"/>
      <c r="E17" s="376" t="s">
        <v>757</v>
      </c>
      <c r="F17" s="288"/>
      <c r="G17" s="288"/>
      <c r="H17" s="288"/>
      <c r="I17" s="288"/>
    </row>
    <row r="18" spans="2:9" x14ac:dyDescent="0.25">
      <c r="B18" s="342">
        <v>12</v>
      </c>
      <c r="C18" s="683"/>
      <c r="D18" s="683"/>
      <c r="E18" s="378" t="s">
        <v>767</v>
      </c>
      <c r="F18" s="288"/>
      <c r="G18" s="288"/>
      <c r="H18" s="288"/>
      <c r="I18" s="288"/>
    </row>
    <row r="19" spans="2:9" x14ac:dyDescent="0.25">
      <c r="B19" s="342" t="s">
        <v>768</v>
      </c>
      <c r="C19" s="683"/>
      <c r="D19" s="683"/>
      <c r="E19" s="377" t="s">
        <v>760</v>
      </c>
      <c r="F19" s="288"/>
      <c r="G19" s="288"/>
      <c r="H19" s="288"/>
      <c r="I19" s="288"/>
    </row>
    <row r="20" spans="2:9" x14ac:dyDescent="0.25">
      <c r="B20" s="342" t="s">
        <v>769</v>
      </c>
      <c r="C20" s="683"/>
      <c r="D20" s="683"/>
      <c r="E20" s="378" t="s">
        <v>767</v>
      </c>
      <c r="F20" s="288"/>
      <c r="G20" s="288"/>
      <c r="H20" s="288"/>
      <c r="I20" s="288"/>
    </row>
    <row r="21" spans="2:9" ht="30" x14ac:dyDescent="0.25">
      <c r="B21" s="342" t="s">
        <v>770</v>
      </c>
      <c r="C21" s="683"/>
      <c r="D21" s="683"/>
      <c r="E21" s="377" t="s">
        <v>761</v>
      </c>
      <c r="F21" s="288"/>
      <c r="G21" s="288"/>
      <c r="H21" s="288"/>
      <c r="I21" s="288"/>
    </row>
    <row r="22" spans="2:9" x14ac:dyDescent="0.25">
      <c r="B22" s="342" t="s">
        <v>771</v>
      </c>
      <c r="C22" s="683"/>
      <c r="D22" s="683"/>
      <c r="E22" s="378" t="s">
        <v>767</v>
      </c>
      <c r="F22" s="288"/>
      <c r="G22" s="288"/>
      <c r="H22" s="288"/>
      <c r="I22" s="288"/>
    </row>
    <row r="23" spans="2:9" x14ac:dyDescent="0.25">
      <c r="B23" s="342" t="s">
        <v>772</v>
      </c>
      <c r="C23" s="683"/>
      <c r="D23" s="683"/>
      <c r="E23" s="376" t="s">
        <v>763</v>
      </c>
      <c r="F23" s="288"/>
      <c r="G23" s="288"/>
      <c r="H23" s="288"/>
      <c r="I23" s="288"/>
    </row>
    <row r="24" spans="2:9" x14ac:dyDescent="0.25">
      <c r="B24" s="342" t="s">
        <v>773</v>
      </c>
      <c r="C24" s="683"/>
      <c r="D24" s="683"/>
      <c r="E24" s="378" t="s">
        <v>767</v>
      </c>
      <c r="F24" s="288"/>
      <c r="G24" s="288"/>
      <c r="H24" s="288"/>
      <c r="I24" s="288"/>
    </row>
    <row r="25" spans="2:9" x14ac:dyDescent="0.25">
      <c r="B25" s="342">
        <v>15</v>
      </c>
      <c r="C25" s="683"/>
      <c r="D25" s="683"/>
      <c r="E25" s="376" t="s">
        <v>764</v>
      </c>
      <c r="F25" s="288"/>
      <c r="G25" s="288"/>
      <c r="H25" s="288"/>
      <c r="I25" s="288"/>
    </row>
    <row r="26" spans="2:9" x14ac:dyDescent="0.25">
      <c r="B26" s="342">
        <v>16</v>
      </c>
      <c r="C26" s="683"/>
      <c r="D26" s="683"/>
      <c r="E26" s="378" t="s">
        <v>767</v>
      </c>
      <c r="F26" s="288"/>
      <c r="G26" s="288"/>
      <c r="H26" s="288"/>
      <c r="I26" s="288"/>
    </row>
    <row r="27" spans="2:9" x14ac:dyDescent="0.25">
      <c r="B27" s="342">
        <v>17</v>
      </c>
      <c r="C27" s="678" t="s">
        <v>774</v>
      </c>
      <c r="D27" s="678"/>
      <c r="E27" s="678"/>
      <c r="F27" s="288">
        <v>1040</v>
      </c>
      <c r="G27" s="288">
        <v>3299</v>
      </c>
      <c r="H27" s="288"/>
      <c r="I27" s="288">
        <f>+I7</f>
        <v>10663</v>
      </c>
    </row>
  </sheetData>
  <sheetProtection algorithmName="SHA-512" hashValue="uX27JDE1lBH/4sJCO257x8YZj4f3huQS+QTakCIE2cs3239t7zJMJsSNpG+cbCtxnt4+pRc8IyazwrLzCix+sw==" saltValue="JuVw24UI3heOpskiSA9N7Q==" spinCount="100000" sheet="1" objects="1" scenarios="1"/>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&amp;CDA
Bilag XXXIII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3BCE3-6D21-49A5-B324-612E1B93180A}">
  <sheetPr>
    <tabColor theme="0" tint="-0.14999847407452621"/>
  </sheetPr>
  <dimension ref="A1:L15"/>
  <sheetViews>
    <sheetView workbookViewId="0"/>
  </sheetViews>
  <sheetFormatPr defaultColWidth="9.140625" defaultRowHeight="15" x14ac:dyDescent="0.25"/>
  <cols>
    <col min="1" max="1" width="7.42578125" style="2" customWidth="1"/>
    <col min="2" max="2" width="55.5703125" style="2" customWidth="1"/>
    <col min="3" max="12" width="25.7109375" style="2" customWidth="1"/>
    <col min="13" max="16384" width="9.140625" style="2"/>
  </cols>
  <sheetData>
    <row r="1" spans="1:12" x14ac:dyDescent="0.25">
      <c r="B1" s="3" t="s">
        <v>749</v>
      </c>
    </row>
    <row r="2" spans="1:12" x14ac:dyDescent="0.25">
      <c r="B2" s="379"/>
      <c r="C2" s="379"/>
      <c r="D2" s="379"/>
      <c r="E2" s="379"/>
      <c r="F2" s="380"/>
      <c r="G2" s="380"/>
      <c r="H2" s="380"/>
      <c r="I2" s="380"/>
      <c r="J2" s="380"/>
      <c r="K2" s="380"/>
      <c r="L2" s="380"/>
    </row>
    <row r="3" spans="1:12" ht="15.75" thickBot="1" x14ac:dyDescent="0.3">
      <c r="C3" s="381" t="s">
        <v>776</v>
      </c>
      <c r="D3" s="381" t="s">
        <v>3</v>
      </c>
      <c r="E3" s="381" t="s">
        <v>4</v>
      </c>
      <c r="F3" s="381" t="s">
        <v>100</v>
      </c>
      <c r="G3" s="381" t="s">
        <v>99</v>
      </c>
      <c r="H3" s="381" t="s">
        <v>115</v>
      </c>
      <c r="I3" s="381" t="s">
        <v>116</v>
      </c>
      <c r="J3" s="381" t="s">
        <v>145</v>
      </c>
      <c r="K3" s="381" t="s">
        <v>316</v>
      </c>
      <c r="L3" s="381" t="s">
        <v>317</v>
      </c>
    </row>
    <row r="4" spans="1:12" ht="15" customHeight="1" x14ac:dyDescent="0.25">
      <c r="B4" s="382"/>
      <c r="C4" s="684" t="s">
        <v>777</v>
      </c>
      <c r="D4" s="685"/>
      <c r="E4" s="686"/>
      <c r="F4" s="687" t="s">
        <v>778</v>
      </c>
      <c r="G4" s="688"/>
      <c r="H4" s="688"/>
      <c r="I4" s="688"/>
      <c r="J4" s="688"/>
      <c r="K4" s="689"/>
      <c r="L4" s="383"/>
    </row>
    <row r="5" spans="1:12" ht="22.5" x14ac:dyDescent="0.25">
      <c r="C5" s="384" t="s">
        <v>750</v>
      </c>
      <c r="D5" s="385" t="s">
        <v>775</v>
      </c>
      <c r="E5" s="386" t="s">
        <v>779</v>
      </c>
      <c r="F5" s="384" t="s">
        <v>780</v>
      </c>
      <c r="G5" s="385" t="s">
        <v>781</v>
      </c>
      <c r="H5" s="385" t="s">
        <v>782</v>
      </c>
      <c r="I5" s="385" t="s">
        <v>783</v>
      </c>
      <c r="J5" s="385" t="s">
        <v>784</v>
      </c>
      <c r="K5" s="386" t="s">
        <v>785</v>
      </c>
      <c r="L5" s="387" t="s">
        <v>786</v>
      </c>
    </row>
    <row r="6" spans="1:12" x14ac:dyDescent="0.25">
      <c r="A6" s="388">
        <v>1</v>
      </c>
      <c r="B6" s="389" t="s">
        <v>787</v>
      </c>
      <c r="C6" s="390"/>
      <c r="D6" s="390"/>
      <c r="E6" s="390"/>
      <c r="F6" s="390"/>
      <c r="G6" s="390"/>
      <c r="H6" s="390"/>
      <c r="I6" s="390"/>
      <c r="J6" s="390"/>
      <c r="K6" s="390"/>
      <c r="L6" s="391"/>
    </row>
    <row r="7" spans="1:12" x14ac:dyDescent="0.25">
      <c r="A7" s="388">
        <v>2</v>
      </c>
      <c r="B7" s="392" t="s">
        <v>788</v>
      </c>
      <c r="C7" s="443">
        <f>+'REM1'!F5</f>
        <v>6</v>
      </c>
      <c r="D7" s="443">
        <f>+'REM1'!G5</f>
        <v>1</v>
      </c>
      <c r="E7" s="443">
        <f>+C7+D7</f>
        <v>7</v>
      </c>
      <c r="F7" s="393"/>
      <c r="G7" s="393"/>
      <c r="H7" s="393"/>
      <c r="I7" s="393"/>
      <c r="J7" s="393"/>
      <c r="K7" s="394"/>
      <c r="L7" s="395"/>
    </row>
    <row r="8" spans="1:12" x14ac:dyDescent="0.25">
      <c r="A8" s="388">
        <v>3</v>
      </c>
      <c r="B8" s="396" t="s">
        <v>789</v>
      </c>
      <c r="C8" s="444"/>
      <c r="D8" s="444"/>
      <c r="E8" s="444"/>
      <c r="F8" s="449"/>
      <c r="G8" s="449"/>
      <c r="H8" s="449"/>
      <c r="I8" s="449"/>
      <c r="J8" s="449"/>
      <c r="K8" s="450"/>
      <c r="L8" s="395"/>
    </row>
    <row r="9" spans="1:12" x14ac:dyDescent="0.25">
      <c r="A9" s="388">
        <v>4</v>
      </c>
      <c r="B9" s="396" t="s">
        <v>790</v>
      </c>
      <c r="C9" s="444"/>
      <c r="D9" s="444"/>
      <c r="E9" s="444"/>
      <c r="F9" s="449"/>
      <c r="G9" s="515">
        <v>4</v>
      </c>
      <c r="H9" s="515"/>
      <c r="I9" s="515">
        <v>3</v>
      </c>
      <c r="J9" s="515">
        <v>3</v>
      </c>
      <c r="K9" s="450"/>
      <c r="L9" s="395"/>
    </row>
    <row r="10" spans="1:12" x14ac:dyDescent="0.25">
      <c r="A10" s="388">
        <v>5</v>
      </c>
      <c r="B10" s="389" t="s">
        <v>791</v>
      </c>
      <c r="C10" s="445">
        <f>+'REM1'!F27</f>
        <v>1040</v>
      </c>
      <c r="D10" s="443">
        <f>+'REM1'!G7</f>
        <v>3299</v>
      </c>
      <c r="E10" s="443">
        <f>+C10+D10</f>
        <v>4339</v>
      </c>
      <c r="F10" s="451"/>
      <c r="G10" s="515">
        <v>4409</v>
      </c>
      <c r="H10" s="515"/>
      <c r="I10" s="515">
        <v>4466</v>
      </c>
      <c r="J10" s="515">
        <f>595+1193</f>
        <v>1788</v>
      </c>
      <c r="K10" s="452"/>
      <c r="L10" s="395"/>
    </row>
    <row r="11" spans="1:12" x14ac:dyDescent="0.25">
      <c r="A11" s="388">
        <v>6</v>
      </c>
      <c r="B11" s="392" t="s">
        <v>792</v>
      </c>
      <c r="C11" s="446"/>
      <c r="D11" s="447"/>
      <c r="E11" s="447"/>
      <c r="F11" s="453"/>
      <c r="G11" s="516"/>
      <c r="H11" s="516"/>
      <c r="I11" s="516"/>
      <c r="J11" s="516"/>
      <c r="K11" s="454"/>
      <c r="L11" s="395"/>
    </row>
    <row r="12" spans="1:12" x14ac:dyDescent="0.25">
      <c r="A12" s="388">
        <v>7</v>
      </c>
      <c r="B12" s="396" t="s">
        <v>793</v>
      </c>
      <c r="C12" s="446">
        <f>+C10</f>
        <v>1040</v>
      </c>
      <c r="D12" s="447">
        <f>+D10</f>
        <v>3299</v>
      </c>
      <c r="E12" s="447">
        <f>+C12+D12</f>
        <v>4339</v>
      </c>
      <c r="F12" s="453"/>
      <c r="G12" s="516">
        <f>SUM(G10:G11)</f>
        <v>4409</v>
      </c>
      <c r="H12" s="516"/>
      <c r="I12" s="516">
        <f>SUM(I10:I11)</f>
        <v>4466</v>
      </c>
      <c r="J12" s="516">
        <f>SUM(J10:J11)</f>
        <v>1788</v>
      </c>
      <c r="K12" s="454"/>
      <c r="L12" s="395"/>
    </row>
    <row r="13" spans="1:12" x14ac:dyDescent="0.25">
      <c r="F13" s="455"/>
      <c r="G13" s="455"/>
      <c r="H13" s="455"/>
      <c r="I13" s="455"/>
      <c r="J13" s="455"/>
      <c r="K13" s="455"/>
    </row>
    <row r="15" spans="1:12" x14ac:dyDescent="0.25">
      <c r="C15" s="2" t="s">
        <v>827</v>
      </c>
      <c r="D15" s="2" t="s">
        <v>828</v>
      </c>
    </row>
  </sheetData>
  <sheetProtection algorithmName="SHA-512" hashValue="UXtNHN7vepYkWk+77LIA40I4+lQDFEk019Ree9PVMgvPv1XDF+58V4qQELdUQ9wH1g7BC83ow+nRXbvTorINhA==" saltValue="fGBPyxj+4cUPORzDwaImUA==" spinCount="100000" sheet="1" objects="1" scenarios="1"/>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&amp;CDA
Bilag XXXIII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378B6-06C5-4D69-B35F-DA59252F08BA}">
  <sheetPr>
    <tabColor theme="0" tint="-0.14999847407452621"/>
  </sheetPr>
  <dimension ref="A1:J15"/>
  <sheetViews>
    <sheetView workbookViewId="0">
      <selection activeCell="G24" sqref="G24"/>
    </sheetView>
  </sheetViews>
  <sheetFormatPr defaultRowHeight="15" x14ac:dyDescent="0.25"/>
  <cols>
    <col min="1" max="1" width="5.7109375" customWidth="1"/>
    <col min="2" max="2" width="47.140625" customWidth="1"/>
    <col min="3" max="7" width="17.7109375" customWidth="1"/>
    <col min="8" max="8" width="19.42578125" customWidth="1"/>
    <col min="9" max="10" width="17.7109375" customWidth="1"/>
  </cols>
  <sheetData>
    <row r="1" spans="1:10" ht="26.25" x14ac:dyDescent="0.25">
      <c r="A1" s="397"/>
      <c r="B1" s="398" t="s">
        <v>794</v>
      </c>
      <c r="C1" s="399"/>
      <c r="D1" s="340"/>
      <c r="E1" s="340"/>
      <c r="F1" s="340"/>
      <c r="G1" s="340"/>
      <c r="H1" s="340"/>
      <c r="I1" s="340"/>
      <c r="J1" s="340"/>
    </row>
    <row r="2" spans="1:10" ht="15.75" x14ac:dyDescent="0.25">
      <c r="A2" s="397"/>
      <c r="B2" s="400"/>
      <c r="C2" s="401"/>
      <c r="D2" s="401"/>
      <c r="E2" s="401"/>
      <c r="F2" s="401"/>
      <c r="G2" s="401"/>
      <c r="H2" s="401"/>
      <c r="I2" s="401"/>
      <c r="J2" s="397"/>
    </row>
    <row r="3" spans="1:10" ht="15.75" x14ac:dyDescent="0.25">
      <c r="A3" s="397"/>
      <c r="B3" s="400"/>
      <c r="C3" s="401"/>
      <c r="D3" s="401"/>
      <c r="E3" s="401"/>
      <c r="F3" s="401"/>
      <c r="G3" s="401"/>
      <c r="H3" s="401"/>
      <c r="I3" s="401"/>
      <c r="J3" s="397"/>
    </row>
    <row r="4" spans="1:10" x14ac:dyDescent="0.25">
      <c r="A4" s="397"/>
      <c r="B4" s="402"/>
      <c r="C4" s="690" t="s">
        <v>797</v>
      </c>
      <c r="D4" s="691"/>
      <c r="E4" s="692" t="s">
        <v>798</v>
      </c>
      <c r="F4" s="693"/>
      <c r="G4" s="690" t="s">
        <v>799</v>
      </c>
      <c r="H4" s="691"/>
      <c r="I4" s="692" t="s">
        <v>800</v>
      </c>
      <c r="J4" s="693"/>
    </row>
    <row r="5" spans="1:10" ht="90" x14ac:dyDescent="0.25">
      <c r="A5" s="397"/>
      <c r="B5" s="403"/>
      <c r="C5" s="404"/>
      <c r="D5" s="405" t="s">
        <v>801</v>
      </c>
      <c r="E5" s="404"/>
      <c r="F5" s="405" t="s">
        <v>801</v>
      </c>
      <c r="G5" s="404"/>
      <c r="H5" s="405" t="s">
        <v>802</v>
      </c>
      <c r="I5" s="406"/>
      <c r="J5" s="405" t="s">
        <v>802</v>
      </c>
    </row>
    <row r="6" spans="1:10" x14ac:dyDescent="0.25">
      <c r="A6" s="397"/>
      <c r="B6" s="407"/>
      <c r="C6" s="408" t="s">
        <v>335</v>
      </c>
      <c r="D6" s="408" t="s">
        <v>584</v>
      </c>
      <c r="E6" s="408" t="s">
        <v>586</v>
      </c>
      <c r="F6" s="408" t="s">
        <v>588</v>
      </c>
      <c r="G6" s="408" t="s">
        <v>590</v>
      </c>
      <c r="H6" s="408" t="s">
        <v>594</v>
      </c>
      <c r="I6" s="408" t="s">
        <v>596</v>
      </c>
      <c r="J6" s="408" t="s">
        <v>598</v>
      </c>
    </row>
    <row r="7" spans="1:10" x14ac:dyDescent="0.25">
      <c r="A7" s="409" t="s">
        <v>335</v>
      </c>
      <c r="B7" s="410" t="s">
        <v>803</v>
      </c>
      <c r="C7" s="110"/>
      <c r="D7" s="110"/>
      <c r="E7" s="411"/>
      <c r="F7" s="411"/>
      <c r="G7" s="110">
        <v>5076484</v>
      </c>
      <c r="H7" s="110"/>
      <c r="I7" s="412"/>
      <c r="J7" s="411"/>
    </row>
    <row r="8" spans="1:10" x14ac:dyDescent="0.25">
      <c r="A8" s="408" t="s">
        <v>584</v>
      </c>
      <c r="B8" s="413" t="s">
        <v>709</v>
      </c>
      <c r="C8" s="110"/>
      <c r="D8" s="110"/>
      <c r="E8" s="110"/>
      <c r="F8" s="110"/>
      <c r="G8" s="110">
        <v>172946</v>
      </c>
      <c r="H8" s="110"/>
      <c r="I8" s="414"/>
      <c r="J8" s="110"/>
    </row>
    <row r="9" spans="1:10" x14ac:dyDescent="0.25">
      <c r="A9" s="408" t="s">
        <v>586</v>
      </c>
      <c r="B9" s="413" t="s">
        <v>597</v>
      </c>
      <c r="C9" s="110"/>
      <c r="D9" s="110"/>
      <c r="E9" s="110"/>
      <c r="F9" s="110"/>
      <c r="G9" s="110">
        <v>1346358</v>
      </c>
      <c r="H9" s="110">
        <f>+G9</f>
        <v>1346358</v>
      </c>
      <c r="I9" s="110">
        <f>+H9</f>
        <v>1346358</v>
      </c>
      <c r="J9" s="110">
        <f>+I9</f>
        <v>1346358</v>
      </c>
    </row>
    <row r="10" spans="1:10" ht="30" x14ac:dyDescent="0.25">
      <c r="A10" s="408" t="s">
        <v>588</v>
      </c>
      <c r="B10" s="415" t="s">
        <v>804</v>
      </c>
      <c r="C10" s="110"/>
      <c r="D10" s="110"/>
      <c r="E10" s="110"/>
      <c r="F10" s="110"/>
      <c r="G10" s="110"/>
      <c r="H10" s="110"/>
      <c r="I10" s="110"/>
      <c r="J10" s="110"/>
    </row>
    <row r="11" spans="1:10" x14ac:dyDescent="0.25">
      <c r="A11" s="408" t="s">
        <v>590</v>
      </c>
      <c r="B11" s="416" t="s">
        <v>805</v>
      </c>
      <c r="C11" s="110"/>
      <c r="D11" s="110"/>
      <c r="E11" s="110"/>
      <c r="F11" s="110"/>
      <c r="G11" s="110"/>
      <c r="H11" s="110"/>
      <c r="I11" s="110"/>
      <c r="J11" s="110"/>
    </row>
    <row r="12" spans="1:10" ht="30" x14ac:dyDescent="0.25">
      <c r="A12" s="408" t="s">
        <v>592</v>
      </c>
      <c r="B12" s="415" t="s">
        <v>806</v>
      </c>
      <c r="C12" s="110"/>
      <c r="D12" s="110"/>
      <c r="E12" s="110"/>
      <c r="F12" s="110"/>
      <c r="G12" s="110"/>
      <c r="H12" s="110"/>
      <c r="I12" s="110"/>
      <c r="J12" s="110"/>
    </row>
    <row r="13" spans="1:10" x14ac:dyDescent="0.25">
      <c r="A13" s="408" t="s">
        <v>594</v>
      </c>
      <c r="B13" s="415" t="s">
        <v>807</v>
      </c>
      <c r="C13" s="110"/>
      <c r="D13" s="110"/>
      <c r="E13" s="110"/>
      <c r="F13" s="110"/>
      <c r="G13" s="110">
        <v>1346358</v>
      </c>
      <c r="H13" s="110"/>
      <c r="I13" s="110"/>
      <c r="J13" s="110"/>
    </row>
    <row r="14" spans="1:10" x14ac:dyDescent="0.25">
      <c r="A14" s="408" t="s">
        <v>596</v>
      </c>
      <c r="B14" s="415" t="s">
        <v>808</v>
      </c>
      <c r="C14" s="110"/>
      <c r="D14" s="110"/>
      <c r="E14" s="110"/>
      <c r="F14" s="110"/>
      <c r="G14" s="110"/>
      <c r="H14" s="110"/>
      <c r="I14" s="110"/>
      <c r="J14" s="110"/>
    </row>
    <row r="15" spans="1:10" x14ac:dyDescent="0.25">
      <c r="A15" s="408" t="s">
        <v>600</v>
      </c>
      <c r="B15" s="413" t="s">
        <v>164</v>
      </c>
      <c r="C15" s="110"/>
      <c r="D15" s="110"/>
      <c r="E15" s="417"/>
      <c r="F15" s="417"/>
      <c r="G15" s="110">
        <f>5076484-172946-1346358</f>
        <v>3557180</v>
      </c>
      <c r="H15" s="110"/>
      <c r="I15" s="418"/>
      <c r="J15" s="417"/>
    </row>
  </sheetData>
  <sheetProtection algorithmName="SHA-512" hashValue="DWMJNMBMtswIdldeWAQn28tlcdUuSCFdTWLdUGpZ1JuvxVrxpylAiYC4iwdOrBOEIV+hy6drR2ECBO8CXTrtCQ==" saltValue="fvFZCKa6lRex/+tngqfwPA==" spinCount="100000" sheet="1" objects="1" scenarios="1"/>
  <mergeCells count="4">
    <mergeCell ref="C4:D4"/>
    <mergeCell ref="E4:F4"/>
    <mergeCell ref="G4:H4"/>
    <mergeCell ref="I4:J4"/>
  </mergeCells>
  <conditionalFormatting sqref="C7:J1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&amp;CDA
Bilag XXXV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3FFC9-933B-47F6-88C1-BF02309DCE20}">
  <sheetPr>
    <tabColor theme="0" tint="-0.14999847407452621"/>
    <pageSetUpPr fitToPage="1"/>
  </sheetPr>
  <dimension ref="A1:G44"/>
  <sheetViews>
    <sheetView workbookViewId="0"/>
  </sheetViews>
  <sheetFormatPr defaultColWidth="9.140625" defaultRowHeight="15" x14ac:dyDescent="0.25"/>
  <cols>
    <col min="1" max="1" width="1" style="2" customWidth="1"/>
    <col min="2" max="2" width="7.85546875" style="2" customWidth="1"/>
    <col min="3" max="3" width="64.42578125" style="2" customWidth="1"/>
    <col min="4" max="4" width="13.85546875" style="2" customWidth="1"/>
    <col min="5" max="5" width="14.140625" style="2" customWidth="1"/>
    <col min="6" max="6" width="16.5703125" style="2" customWidth="1"/>
    <col min="7" max="7" width="9.140625" style="2" customWidth="1"/>
    <col min="8" max="16384" width="9.140625" style="2"/>
  </cols>
  <sheetData>
    <row r="1" spans="1:6" x14ac:dyDescent="0.25">
      <c r="A1" s="1"/>
      <c r="B1" s="1"/>
      <c r="C1" s="1"/>
      <c r="D1" s="1"/>
      <c r="E1" s="1"/>
      <c r="F1" s="1"/>
    </row>
    <row r="2" spans="1:6" x14ac:dyDescent="0.25">
      <c r="A2" s="1"/>
      <c r="B2" s="3" t="s">
        <v>0</v>
      </c>
    </row>
    <row r="3" spans="1:6" x14ac:dyDescent="0.25">
      <c r="A3" s="1"/>
    </row>
    <row r="4" spans="1:6" x14ac:dyDescent="0.25">
      <c r="A4" s="1"/>
    </row>
    <row r="5" spans="1:6" ht="45" x14ac:dyDescent="0.25">
      <c r="A5" s="1"/>
      <c r="B5" s="525"/>
      <c r="C5" s="526"/>
      <c r="D5" s="529" t="s">
        <v>1</v>
      </c>
      <c r="E5" s="529"/>
      <c r="F5" s="4" t="s">
        <v>831</v>
      </c>
    </row>
    <row r="6" spans="1:6" x14ac:dyDescent="0.25">
      <c r="A6" s="1"/>
      <c r="B6" s="525"/>
      <c r="C6" s="526"/>
      <c r="D6" s="4" t="s">
        <v>2</v>
      </c>
      <c r="E6" s="4" t="s">
        <v>3</v>
      </c>
      <c r="F6" s="4" t="s">
        <v>4</v>
      </c>
    </row>
    <row r="7" spans="1:6" x14ac:dyDescent="0.25">
      <c r="A7" s="1"/>
      <c r="B7" s="527"/>
      <c r="C7" s="528"/>
      <c r="D7" s="66">
        <v>44926</v>
      </c>
      <c r="E7" s="66">
        <v>44561</v>
      </c>
      <c r="F7" s="66">
        <v>44926</v>
      </c>
    </row>
    <row r="8" spans="1:6" x14ac:dyDescent="0.25">
      <c r="A8" s="1"/>
      <c r="B8" s="4">
        <v>1</v>
      </c>
      <c r="C8" s="5" t="s">
        <v>5</v>
      </c>
      <c r="D8" s="257">
        <f>1917612515/1000</f>
        <v>1917612.5149999999</v>
      </c>
      <c r="E8" s="257">
        <f>2021181</f>
        <v>2021181</v>
      </c>
      <c r="F8" s="257">
        <f>ROUND(D8*0.08,0)</f>
        <v>153409</v>
      </c>
    </row>
    <row r="9" spans="1:6" x14ac:dyDescent="0.25">
      <c r="A9" s="1"/>
      <c r="B9" s="4">
        <v>2</v>
      </c>
      <c r="C9" s="6" t="s">
        <v>6</v>
      </c>
      <c r="D9" s="257">
        <f>+D8</f>
        <v>1917612.5149999999</v>
      </c>
      <c r="E9" s="257">
        <f>+E8</f>
        <v>2021181</v>
      </c>
      <c r="F9" s="257">
        <f>ROUND(D9*0.08,0)</f>
        <v>153409</v>
      </c>
    </row>
    <row r="10" spans="1:6" ht="30" x14ac:dyDescent="0.25">
      <c r="A10" s="1"/>
      <c r="B10" s="4">
        <v>3</v>
      </c>
      <c r="C10" s="6" t="s">
        <v>7</v>
      </c>
      <c r="D10" s="257"/>
      <c r="E10" s="257"/>
      <c r="F10" s="5"/>
    </row>
    <row r="11" spans="1:6" x14ac:dyDescent="0.25">
      <c r="A11" s="1"/>
      <c r="B11" s="4">
        <v>4</v>
      </c>
      <c r="C11" s="6" t="s">
        <v>8</v>
      </c>
      <c r="D11" s="257"/>
      <c r="E11" s="257"/>
      <c r="F11" s="5"/>
    </row>
    <row r="12" spans="1:6" x14ac:dyDescent="0.25">
      <c r="A12" s="1"/>
      <c r="B12" s="4" t="s">
        <v>9</v>
      </c>
      <c r="C12" s="6" t="s">
        <v>10</v>
      </c>
      <c r="D12" s="257"/>
      <c r="E12" s="257"/>
      <c r="F12" s="5"/>
    </row>
    <row r="13" spans="1:6" ht="30" x14ac:dyDescent="0.25">
      <c r="A13" s="1"/>
      <c r="B13" s="4">
        <v>5</v>
      </c>
      <c r="C13" s="6" t="s">
        <v>11</v>
      </c>
      <c r="D13" s="257"/>
      <c r="E13" s="257"/>
      <c r="F13" s="5"/>
    </row>
    <row r="14" spans="1:6" x14ac:dyDescent="0.25">
      <c r="A14" s="1"/>
      <c r="B14" s="4">
        <v>6</v>
      </c>
      <c r="C14" s="5" t="s">
        <v>12</v>
      </c>
      <c r="D14" s="257"/>
      <c r="E14" s="257"/>
      <c r="F14" s="257"/>
    </row>
    <row r="15" spans="1:6" x14ac:dyDescent="0.25">
      <c r="A15" s="1"/>
      <c r="B15" s="4">
        <v>7</v>
      </c>
      <c r="C15" s="6" t="s">
        <v>6</v>
      </c>
      <c r="D15" s="257"/>
      <c r="E15" s="257"/>
      <c r="F15" s="257"/>
    </row>
    <row r="16" spans="1:6" x14ac:dyDescent="0.25">
      <c r="A16" s="1"/>
      <c r="B16" s="4">
        <v>8</v>
      </c>
      <c r="C16" s="6" t="s">
        <v>13</v>
      </c>
      <c r="D16" s="257"/>
      <c r="E16" s="257"/>
      <c r="F16" s="5"/>
    </row>
    <row r="17" spans="1:7" x14ac:dyDescent="0.25">
      <c r="A17" s="1"/>
      <c r="B17" s="4" t="s">
        <v>14</v>
      </c>
      <c r="C17" s="6" t="s">
        <v>15</v>
      </c>
      <c r="D17" s="257"/>
      <c r="E17" s="257"/>
      <c r="F17" s="5"/>
      <c r="G17" s="7"/>
    </row>
    <row r="18" spans="1:7" x14ac:dyDescent="0.25">
      <c r="A18" s="1"/>
      <c r="B18" s="4" t="s">
        <v>16</v>
      </c>
      <c r="C18" s="6" t="s">
        <v>17</v>
      </c>
      <c r="D18" s="257"/>
      <c r="E18" s="257"/>
      <c r="F18" s="257"/>
    </row>
    <row r="19" spans="1:7" x14ac:dyDescent="0.25">
      <c r="A19" s="1"/>
      <c r="B19" s="4">
        <v>9</v>
      </c>
      <c r="C19" s="6" t="s">
        <v>18</v>
      </c>
      <c r="D19" s="257"/>
      <c r="E19" s="257"/>
      <c r="F19" s="5"/>
    </row>
    <row r="20" spans="1:7" x14ac:dyDescent="0.25">
      <c r="A20" s="1"/>
      <c r="B20" s="4">
        <v>10</v>
      </c>
      <c r="C20" s="5" t="s">
        <v>19</v>
      </c>
      <c r="D20" s="258"/>
      <c r="E20" s="258"/>
      <c r="F20" s="8"/>
    </row>
    <row r="21" spans="1:7" x14ac:dyDescent="0.25">
      <c r="A21" s="1"/>
      <c r="B21" s="4">
        <v>11</v>
      </c>
      <c r="C21" s="5" t="s">
        <v>19</v>
      </c>
      <c r="D21" s="258"/>
      <c r="E21" s="258"/>
      <c r="F21" s="8"/>
    </row>
    <row r="22" spans="1:7" x14ac:dyDescent="0.25">
      <c r="A22" s="1"/>
      <c r="B22" s="4">
        <v>12</v>
      </c>
      <c r="C22" s="5" t="s">
        <v>19</v>
      </c>
      <c r="D22" s="258"/>
      <c r="E22" s="258"/>
      <c r="F22" s="8"/>
    </row>
    <row r="23" spans="1:7" x14ac:dyDescent="0.25">
      <c r="A23" s="1"/>
      <c r="B23" s="4">
        <v>13</v>
      </c>
      <c r="C23" s="5" t="s">
        <v>19</v>
      </c>
      <c r="D23" s="258"/>
      <c r="E23" s="258"/>
      <c r="F23" s="8"/>
    </row>
    <row r="24" spans="1:7" x14ac:dyDescent="0.25">
      <c r="A24" s="1"/>
      <c r="B24" s="4">
        <v>14</v>
      </c>
      <c r="C24" s="5" t="s">
        <v>19</v>
      </c>
      <c r="D24" s="258"/>
      <c r="E24" s="258"/>
      <c r="F24" s="8"/>
    </row>
    <row r="25" spans="1:7" x14ac:dyDescent="0.25">
      <c r="A25" s="1"/>
      <c r="B25" s="4">
        <v>15</v>
      </c>
      <c r="C25" s="5" t="s">
        <v>20</v>
      </c>
      <c r="D25" s="257"/>
      <c r="E25" s="257"/>
      <c r="F25" s="5"/>
    </row>
    <row r="26" spans="1:7" ht="15" customHeight="1" x14ac:dyDescent="0.25">
      <c r="A26" s="1"/>
      <c r="B26" s="4">
        <v>16</v>
      </c>
      <c r="C26" s="5" t="s">
        <v>21</v>
      </c>
      <c r="D26" s="257"/>
      <c r="E26" s="257"/>
      <c r="F26" s="5"/>
    </row>
    <row r="27" spans="1:7" x14ac:dyDescent="0.25">
      <c r="A27" s="1"/>
      <c r="B27" s="4">
        <v>17</v>
      </c>
      <c r="C27" s="6" t="s">
        <v>22</v>
      </c>
      <c r="D27" s="257"/>
      <c r="E27" s="257"/>
      <c r="F27" s="5"/>
    </row>
    <row r="28" spans="1:7" x14ac:dyDescent="0.25">
      <c r="A28" s="1"/>
      <c r="B28" s="4">
        <v>18</v>
      </c>
      <c r="C28" s="6" t="s">
        <v>23</v>
      </c>
      <c r="D28" s="257"/>
      <c r="E28" s="257"/>
      <c r="F28" s="5"/>
    </row>
    <row r="29" spans="1:7" x14ac:dyDescent="0.25">
      <c r="A29" s="1"/>
      <c r="B29" s="4">
        <v>19</v>
      </c>
      <c r="C29" s="6" t="s">
        <v>24</v>
      </c>
      <c r="D29" s="257"/>
      <c r="E29" s="257"/>
      <c r="F29" s="5"/>
    </row>
    <row r="30" spans="1:7" x14ac:dyDescent="0.25">
      <c r="A30" s="1"/>
      <c r="B30" s="4" t="s">
        <v>25</v>
      </c>
      <c r="C30" s="6" t="s">
        <v>26</v>
      </c>
      <c r="D30" s="257"/>
      <c r="E30" s="257"/>
      <c r="F30" s="5"/>
    </row>
    <row r="31" spans="1:7" x14ac:dyDescent="0.25">
      <c r="A31" s="1"/>
      <c r="B31" s="4">
        <v>20</v>
      </c>
      <c r="C31" s="5" t="s">
        <v>27</v>
      </c>
      <c r="D31" s="257">
        <f>232887249/1000+90023/1000</f>
        <v>232977.272</v>
      </c>
      <c r="E31" s="257">
        <f>179380+97</f>
        <v>179477</v>
      </c>
      <c r="F31" s="257">
        <f>ROUND(D31*0.08,0)</f>
        <v>18638</v>
      </c>
    </row>
    <row r="32" spans="1:7" x14ac:dyDescent="0.25">
      <c r="A32" s="1"/>
      <c r="B32" s="4">
        <v>21</v>
      </c>
      <c r="C32" s="6" t="s">
        <v>6</v>
      </c>
      <c r="D32" s="257"/>
      <c r="E32" s="257"/>
      <c r="F32" s="5"/>
    </row>
    <row r="33" spans="1:6" x14ac:dyDescent="0.25">
      <c r="A33" s="1"/>
      <c r="B33" s="4">
        <v>22</v>
      </c>
      <c r="C33" s="6" t="s">
        <v>28</v>
      </c>
      <c r="D33" s="257"/>
      <c r="E33" s="257"/>
      <c r="F33" s="5"/>
    </row>
    <row r="34" spans="1:6" x14ac:dyDescent="0.25">
      <c r="A34" s="1"/>
      <c r="B34" s="4" t="s">
        <v>29</v>
      </c>
      <c r="C34" s="5" t="s">
        <v>30</v>
      </c>
      <c r="D34" s="257"/>
      <c r="E34" s="257"/>
      <c r="F34" s="5"/>
    </row>
    <row r="35" spans="1:6" x14ac:dyDescent="0.25">
      <c r="A35" s="1"/>
      <c r="B35" s="4">
        <v>23</v>
      </c>
      <c r="C35" s="5" t="s">
        <v>31</v>
      </c>
      <c r="D35" s="258"/>
      <c r="E35" s="258"/>
      <c r="F35" s="8"/>
    </row>
    <row r="36" spans="1:6" x14ac:dyDescent="0.25">
      <c r="A36" s="1"/>
      <c r="B36" s="4" t="s">
        <v>32</v>
      </c>
      <c r="C36" s="5" t="s">
        <v>33</v>
      </c>
      <c r="D36" s="257">
        <f>404211000/1000</f>
        <v>404211</v>
      </c>
      <c r="E36" s="257">
        <v>401221</v>
      </c>
      <c r="F36" s="257">
        <f>ROUND(D36*0.08,0)</f>
        <v>32337</v>
      </c>
    </row>
    <row r="37" spans="1:6" x14ac:dyDescent="0.25">
      <c r="A37" s="1"/>
      <c r="B37" s="4" t="s">
        <v>34</v>
      </c>
      <c r="C37" s="5" t="s">
        <v>6</v>
      </c>
      <c r="D37" s="257"/>
      <c r="E37" s="257"/>
      <c r="F37" s="5"/>
    </row>
    <row r="38" spans="1:6" x14ac:dyDescent="0.25">
      <c r="A38" s="1"/>
      <c r="B38" s="4" t="s">
        <v>35</v>
      </c>
      <c r="C38" s="5" t="s">
        <v>36</v>
      </c>
      <c r="D38" s="257"/>
      <c r="E38" s="257"/>
      <c r="F38" s="5"/>
    </row>
    <row r="39" spans="1:6" ht="30" x14ac:dyDescent="0.25">
      <c r="A39" s="1"/>
      <c r="B39" s="4">
        <v>24</v>
      </c>
      <c r="C39" s="5" t="s">
        <v>37</v>
      </c>
      <c r="D39" s="257"/>
      <c r="E39" s="257"/>
      <c r="F39" s="5"/>
    </row>
    <row r="40" spans="1:6" x14ac:dyDescent="0.25">
      <c r="A40" s="1"/>
      <c r="B40" s="4">
        <v>25</v>
      </c>
      <c r="C40" s="5" t="s">
        <v>19</v>
      </c>
      <c r="D40" s="258"/>
      <c r="E40" s="258"/>
      <c r="F40" s="8"/>
    </row>
    <row r="41" spans="1:6" x14ac:dyDescent="0.25">
      <c r="A41" s="1"/>
      <c r="B41" s="4">
        <v>26</v>
      </c>
      <c r="C41" s="5" t="s">
        <v>19</v>
      </c>
      <c r="D41" s="258"/>
      <c r="E41" s="258"/>
      <c r="F41" s="8"/>
    </row>
    <row r="42" spans="1:6" x14ac:dyDescent="0.25">
      <c r="A42" s="1"/>
      <c r="B42" s="4">
        <v>27</v>
      </c>
      <c r="C42" s="5" t="s">
        <v>19</v>
      </c>
      <c r="D42" s="258"/>
      <c r="E42" s="258"/>
      <c r="F42" s="8"/>
    </row>
    <row r="43" spans="1:6" x14ac:dyDescent="0.25">
      <c r="A43" s="1"/>
      <c r="B43" s="4">
        <v>28</v>
      </c>
      <c r="C43" s="5" t="s">
        <v>19</v>
      </c>
      <c r="D43" s="258"/>
      <c r="E43" s="258"/>
      <c r="F43" s="8"/>
    </row>
    <row r="44" spans="1:6" x14ac:dyDescent="0.25">
      <c r="A44" s="1"/>
      <c r="B44" s="9">
        <v>29</v>
      </c>
      <c r="C44" s="10" t="s">
        <v>38</v>
      </c>
      <c r="D44" s="259">
        <f>+D8+D14+D31+D36</f>
        <v>2554800.787</v>
      </c>
      <c r="E44" s="259">
        <f>+E8+E14+E31+E36</f>
        <v>2601879</v>
      </c>
      <c r="F44" s="259">
        <f>+F8+F14+F31+F36</f>
        <v>204384</v>
      </c>
    </row>
  </sheetData>
  <mergeCells count="2">
    <mergeCell ref="B5:C7"/>
    <mergeCell ref="D5:E5"/>
  </mergeCells>
  <pageMargins left="0.7" right="0.7" top="0.75" bottom="0.75" header="0.3" footer="0.3"/>
  <pageSetup paperSize="9" scale="74" orientation="portrait" r:id="rId1"/>
  <headerFooter>
    <oddHeader>&amp;CDA
Bilag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CAA10-F0F2-4085-A27C-4A889821ED15}">
  <sheetPr>
    <tabColor theme="0" tint="-0.14999847407452621"/>
    <pageSetUpPr fitToPage="1"/>
  </sheetPr>
  <dimension ref="A1:J146"/>
  <sheetViews>
    <sheetView workbookViewId="0"/>
  </sheetViews>
  <sheetFormatPr defaultRowHeight="15" x14ac:dyDescent="0.25"/>
  <cols>
    <col min="1" max="1" width="4.42578125" style="261" customWidth="1"/>
    <col min="2" max="2" width="8.42578125" style="261" customWidth="1"/>
    <col min="3" max="3" width="70.140625" style="261" customWidth="1"/>
    <col min="4" max="6" width="13.7109375" style="261" bestFit="1" customWidth="1"/>
    <col min="7" max="7" width="11.5703125" style="261" customWidth="1"/>
    <col min="8" max="8" width="10.5703125" style="261" customWidth="1"/>
    <col min="9" max="10" width="15.140625" style="261" hidden="1" customWidth="1"/>
    <col min="11" max="16384" width="9.140625" style="261"/>
  </cols>
  <sheetData>
    <row r="1" spans="1:10" customFormat="1" x14ac:dyDescent="0.25">
      <c r="A1" s="11"/>
      <c r="G1" s="261"/>
      <c r="H1" s="261"/>
    </row>
    <row r="2" spans="1:10" customFormat="1" x14ac:dyDescent="0.25">
      <c r="A2" s="11"/>
      <c r="B2" s="26" t="s">
        <v>101</v>
      </c>
      <c r="G2" s="261"/>
      <c r="H2" s="261"/>
    </row>
    <row r="3" spans="1:10" customFormat="1" x14ac:dyDescent="0.25">
      <c r="A3" s="11"/>
      <c r="B3" s="26"/>
      <c r="G3" s="261"/>
      <c r="H3" s="261"/>
    </row>
    <row r="4" spans="1:10" customFormat="1" x14ac:dyDescent="0.25">
      <c r="A4" s="11"/>
      <c r="G4" s="261"/>
      <c r="H4" s="261"/>
    </row>
    <row r="5" spans="1:10" customFormat="1" x14ac:dyDescent="0.25">
      <c r="A5" s="11"/>
      <c r="B5" s="25"/>
      <c r="C5" s="24"/>
      <c r="D5" s="21" t="s">
        <v>2</v>
      </c>
      <c r="E5" s="21" t="s">
        <v>3</v>
      </c>
      <c r="F5" s="21" t="s">
        <v>4</v>
      </c>
      <c r="G5" s="31" t="s">
        <v>100</v>
      </c>
      <c r="H5" s="31" t="s">
        <v>99</v>
      </c>
    </row>
    <row r="6" spans="1:10" customFormat="1" x14ac:dyDescent="0.25">
      <c r="A6" s="11"/>
      <c r="B6" s="23"/>
      <c r="C6" s="22"/>
      <c r="D6" s="34">
        <v>44926</v>
      </c>
      <c r="E6" s="498">
        <v>44742</v>
      </c>
      <c r="F6" s="34">
        <v>44561</v>
      </c>
      <c r="G6" s="31" t="s">
        <v>98</v>
      </c>
      <c r="H6" s="31" t="s">
        <v>97</v>
      </c>
      <c r="J6" t="s">
        <v>161</v>
      </c>
    </row>
    <row r="7" spans="1:10" customFormat="1" x14ac:dyDescent="0.25">
      <c r="A7" s="11"/>
      <c r="B7" s="20"/>
      <c r="C7" s="533" t="s">
        <v>96</v>
      </c>
      <c r="D7" s="534"/>
      <c r="E7" s="534"/>
      <c r="F7" s="534"/>
      <c r="G7" s="534"/>
      <c r="H7" s="535"/>
    </row>
    <row r="8" spans="1:10" customFormat="1" x14ac:dyDescent="0.25">
      <c r="A8" s="11"/>
      <c r="B8" s="12">
        <v>1</v>
      </c>
      <c r="C8" s="19" t="s">
        <v>95</v>
      </c>
      <c r="D8" s="30">
        <v>458215</v>
      </c>
      <c r="E8" s="68">
        <v>446181</v>
      </c>
      <c r="F8" s="30">
        <v>455858</v>
      </c>
      <c r="G8" s="32"/>
      <c r="H8" s="32"/>
      <c r="J8" s="27" t="s">
        <v>104</v>
      </c>
    </row>
    <row r="9" spans="1:10" customFormat="1" x14ac:dyDescent="0.25">
      <c r="A9" s="11"/>
      <c r="B9" s="12">
        <v>2</v>
      </c>
      <c r="C9" s="19" t="s">
        <v>94</v>
      </c>
      <c r="D9" s="30">
        <v>508215</v>
      </c>
      <c r="E9" s="68">
        <v>496181</v>
      </c>
      <c r="F9" s="30">
        <v>505858</v>
      </c>
      <c r="G9" s="32"/>
      <c r="H9" s="32"/>
    </row>
    <row r="10" spans="1:10" customFormat="1" x14ac:dyDescent="0.25">
      <c r="A10" s="11"/>
      <c r="B10" s="12">
        <v>3</v>
      </c>
      <c r="C10" s="19" t="s">
        <v>93</v>
      </c>
      <c r="D10" s="30">
        <v>586681</v>
      </c>
      <c r="E10" s="68">
        <v>550944</v>
      </c>
      <c r="F10" s="30">
        <v>560556</v>
      </c>
      <c r="G10" s="32"/>
      <c r="H10" s="32"/>
      <c r="J10" t="s">
        <v>103</v>
      </c>
    </row>
    <row r="11" spans="1:10" customFormat="1" x14ac:dyDescent="0.25">
      <c r="A11" s="11"/>
      <c r="B11" s="15"/>
      <c r="C11" s="530" t="s">
        <v>92</v>
      </c>
      <c r="D11" s="531"/>
      <c r="E11" s="531"/>
      <c r="F11" s="531"/>
      <c r="G11" s="531"/>
      <c r="H11" s="532"/>
    </row>
    <row r="12" spans="1:10" customFormat="1" x14ac:dyDescent="0.25">
      <c r="A12" s="11"/>
      <c r="B12" s="12">
        <v>4</v>
      </c>
      <c r="C12" s="19" t="s">
        <v>91</v>
      </c>
      <c r="D12" s="30">
        <f>+'EU OV1'!D44</f>
        <v>2554800.787</v>
      </c>
      <c r="E12" s="30">
        <v>2764207</v>
      </c>
      <c r="F12" s="30">
        <v>2601879</v>
      </c>
      <c r="G12" s="32"/>
      <c r="H12" s="32"/>
    </row>
    <row r="13" spans="1:10" customFormat="1" ht="15" customHeight="1" x14ac:dyDescent="0.25">
      <c r="A13" s="11"/>
      <c r="B13" s="15"/>
      <c r="C13" s="536" t="s">
        <v>90</v>
      </c>
      <c r="D13" s="537"/>
      <c r="E13" s="537"/>
      <c r="F13" s="537"/>
      <c r="G13" s="537"/>
      <c r="H13" s="538"/>
    </row>
    <row r="14" spans="1:10" customFormat="1" x14ac:dyDescent="0.25">
      <c r="A14" s="11"/>
      <c r="B14" s="12">
        <v>5</v>
      </c>
      <c r="C14" s="19" t="s">
        <v>89</v>
      </c>
      <c r="D14" s="478">
        <f>+D8/D12*100</f>
        <v>17.935449305151636</v>
      </c>
      <c r="E14" s="478">
        <f>+E8/E12*100</f>
        <v>16.14137436161619</v>
      </c>
      <c r="F14" s="478">
        <f>+F8/F12*100</f>
        <v>17.520338186364544</v>
      </c>
      <c r="G14" s="32"/>
      <c r="H14" s="32"/>
    </row>
    <row r="15" spans="1:10" customFormat="1" x14ac:dyDescent="0.25">
      <c r="A15" s="11"/>
      <c r="B15" s="12">
        <v>6</v>
      </c>
      <c r="C15" s="19" t="s">
        <v>88</v>
      </c>
      <c r="D15" s="478">
        <f>+D9/D12*100</f>
        <v>19.892549062378222</v>
      </c>
      <c r="E15" s="478">
        <f>+E9/E12*100</f>
        <v>17.950211398784536</v>
      </c>
      <c r="F15" s="478">
        <f>+F9/F12*100</f>
        <v>19.442026320209358</v>
      </c>
      <c r="G15" s="32"/>
      <c r="H15" s="32"/>
    </row>
    <row r="16" spans="1:10" customFormat="1" x14ac:dyDescent="0.25">
      <c r="A16" s="11"/>
      <c r="B16" s="12">
        <v>7</v>
      </c>
      <c r="C16" s="19" t="s">
        <v>87</v>
      </c>
      <c r="D16" s="478">
        <f>+D10/D12*100</f>
        <v>22.963864853389058</v>
      </c>
      <c r="E16" s="478">
        <f>+E10/E12*100</f>
        <v>19.931358252113533</v>
      </c>
      <c r="F16" s="478">
        <f>+F10/F12*100</f>
        <v>21.544276271110224</v>
      </c>
      <c r="G16" s="32"/>
      <c r="H16" s="32"/>
    </row>
    <row r="17" spans="1:8" customFormat="1" ht="29.1" customHeight="1" x14ac:dyDescent="0.25">
      <c r="A17" s="11"/>
      <c r="B17" s="15"/>
      <c r="C17" s="539" t="s">
        <v>86</v>
      </c>
      <c r="D17" s="540"/>
      <c r="E17" s="540"/>
      <c r="F17" s="540"/>
      <c r="G17" s="540"/>
      <c r="H17" s="541"/>
    </row>
    <row r="18" spans="1:8" customFormat="1" ht="30" x14ac:dyDescent="0.25">
      <c r="A18" s="11"/>
      <c r="B18" s="12" t="s">
        <v>85</v>
      </c>
      <c r="C18" s="5" t="s">
        <v>84</v>
      </c>
      <c r="D18" s="467">
        <v>2.4E-2</v>
      </c>
      <c r="E18" s="467">
        <v>1.4999999999999999E-2</v>
      </c>
      <c r="F18" s="32"/>
      <c r="G18" s="32"/>
      <c r="H18" s="32"/>
    </row>
    <row r="19" spans="1:8" customFormat="1" x14ac:dyDescent="0.25">
      <c r="A19" s="11"/>
      <c r="B19" s="12" t="s">
        <v>83</v>
      </c>
      <c r="C19" s="5" t="s">
        <v>58</v>
      </c>
      <c r="D19" s="467">
        <f>+D18/8*4.5</f>
        <v>1.35E-2</v>
      </c>
      <c r="E19" s="467">
        <f>+E18/8*4.5</f>
        <v>8.4375000000000006E-3</v>
      </c>
      <c r="F19" s="32"/>
      <c r="G19" s="32"/>
      <c r="H19" s="32"/>
    </row>
    <row r="20" spans="1:8" customFormat="1" x14ac:dyDescent="0.25">
      <c r="A20" s="11"/>
      <c r="B20" s="12" t="s">
        <v>82</v>
      </c>
      <c r="C20" s="5" t="s">
        <v>81</v>
      </c>
      <c r="D20" s="467">
        <f>+D18/8*6</f>
        <v>1.8000000000000002E-2</v>
      </c>
      <c r="E20" s="467">
        <f>+E18/8*6</f>
        <v>1.125E-2</v>
      </c>
      <c r="F20" s="32"/>
      <c r="G20" s="32"/>
      <c r="H20" s="32"/>
    </row>
    <row r="21" spans="1:8" customFormat="1" x14ac:dyDescent="0.25">
      <c r="A21" s="11"/>
      <c r="B21" s="12" t="s">
        <v>80</v>
      </c>
      <c r="C21" s="5" t="s">
        <v>79</v>
      </c>
      <c r="D21" s="467">
        <v>0.1037</v>
      </c>
      <c r="E21" s="70">
        <v>9.5000000000000001E-2</v>
      </c>
      <c r="F21" s="32"/>
      <c r="G21" s="32"/>
      <c r="H21" s="32"/>
    </row>
    <row r="22" spans="1:8" customFormat="1" ht="15.75" customHeight="1" x14ac:dyDescent="0.25">
      <c r="A22" s="11"/>
      <c r="B22" s="15"/>
      <c r="C22" s="539" t="s">
        <v>78</v>
      </c>
      <c r="D22" s="540"/>
      <c r="E22" s="540"/>
      <c r="F22" s="540"/>
      <c r="G22" s="540"/>
      <c r="H22" s="541"/>
    </row>
    <row r="23" spans="1:8" customFormat="1" x14ac:dyDescent="0.25">
      <c r="A23" s="11"/>
      <c r="B23" s="12">
        <v>8</v>
      </c>
      <c r="C23" s="19" t="s">
        <v>77</v>
      </c>
      <c r="D23" s="35">
        <v>2.5000000000000001E-2</v>
      </c>
      <c r="E23" s="35">
        <v>2.5000000000000001E-2</v>
      </c>
      <c r="F23" s="32"/>
      <c r="G23" s="32"/>
      <c r="H23" s="32"/>
    </row>
    <row r="24" spans="1:8" customFormat="1" ht="30" x14ac:dyDescent="0.25">
      <c r="A24" s="11"/>
      <c r="B24" s="12" t="s">
        <v>14</v>
      </c>
      <c r="C24" s="19" t="s">
        <v>76</v>
      </c>
      <c r="D24" s="36">
        <v>0</v>
      </c>
      <c r="E24" s="36">
        <v>0</v>
      </c>
      <c r="F24" s="32"/>
      <c r="G24" s="32"/>
      <c r="H24" s="32"/>
    </row>
    <row r="25" spans="1:8" customFormat="1" x14ac:dyDescent="0.25">
      <c r="A25" s="11"/>
      <c r="B25" s="12">
        <v>9</v>
      </c>
      <c r="C25" s="496" t="s">
        <v>75</v>
      </c>
      <c r="D25" s="36">
        <v>0.02</v>
      </c>
      <c r="E25" s="36">
        <v>0</v>
      </c>
      <c r="F25" s="32"/>
      <c r="G25" s="32"/>
      <c r="H25" s="32"/>
    </row>
    <row r="26" spans="1:8" customFormat="1" x14ac:dyDescent="0.25">
      <c r="A26" s="11"/>
      <c r="B26" s="12" t="s">
        <v>74</v>
      </c>
      <c r="C26" s="19" t="s">
        <v>73</v>
      </c>
      <c r="D26" s="36">
        <v>0</v>
      </c>
      <c r="E26" s="36">
        <v>0</v>
      </c>
      <c r="F26" s="32"/>
      <c r="G26" s="32"/>
      <c r="H26" s="32"/>
    </row>
    <row r="27" spans="1:8" customFormat="1" x14ac:dyDescent="0.25">
      <c r="A27" s="11"/>
      <c r="B27" s="12">
        <v>10</v>
      </c>
      <c r="C27" s="19" t="s">
        <v>72</v>
      </c>
      <c r="D27" s="36">
        <v>0</v>
      </c>
      <c r="E27" s="36">
        <v>0</v>
      </c>
      <c r="F27" s="32"/>
      <c r="G27" s="32"/>
      <c r="H27" s="32"/>
    </row>
    <row r="28" spans="1:8" customFormat="1" x14ac:dyDescent="0.25">
      <c r="A28" s="11"/>
      <c r="B28" s="12" t="s">
        <v>71</v>
      </c>
      <c r="C28" s="5" t="s">
        <v>70</v>
      </c>
      <c r="D28" s="36">
        <v>0</v>
      </c>
      <c r="E28" s="36">
        <v>0</v>
      </c>
      <c r="F28" s="32"/>
      <c r="G28" s="32"/>
      <c r="H28" s="32"/>
    </row>
    <row r="29" spans="1:8" customFormat="1" x14ac:dyDescent="0.25">
      <c r="A29" s="11"/>
      <c r="B29" s="12">
        <v>11</v>
      </c>
      <c r="C29" s="19" t="s">
        <v>69</v>
      </c>
      <c r="D29" s="35">
        <f>+D23+D25+D27</f>
        <v>4.4999999999999998E-2</v>
      </c>
      <c r="E29" s="35">
        <v>2.5000000000000001E-2</v>
      </c>
      <c r="F29" s="32"/>
      <c r="G29" s="32"/>
      <c r="H29" s="32"/>
    </row>
    <row r="30" spans="1:8" customFormat="1" x14ac:dyDescent="0.25">
      <c r="A30" s="11"/>
      <c r="B30" s="12" t="s">
        <v>68</v>
      </c>
      <c r="C30" s="19" t="s">
        <v>67</v>
      </c>
      <c r="D30" s="70">
        <f>+D21+D29</f>
        <v>0.1487</v>
      </c>
      <c r="E30" s="70">
        <f>+E21+E29</f>
        <v>0.12</v>
      </c>
      <c r="F30" s="32"/>
      <c r="G30" s="32"/>
      <c r="H30" s="32"/>
    </row>
    <row r="31" spans="1:8" customFormat="1" ht="14.45" customHeight="1" x14ac:dyDescent="0.25">
      <c r="A31" s="11"/>
      <c r="B31" s="12">
        <v>12</v>
      </c>
      <c r="C31" s="496" t="s">
        <v>66</v>
      </c>
      <c r="D31" s="467">
        <v>7.5800000000000006E-2</v>
      </c>
      <c r="E31" s="70">
        <v>7.9299999999999995E-2</v>
      </c>
      <c r="F31" s="32"/>
      <c r="G31" s="32"/>
      <c r="H31" s="32"/>
    </row>
    <row r="32" spans="1:8" customFormat="1" x14ac:dyDescent="0.25">
      <c r="A32" s="11"/>
      <c r="B32" s="15"/>
      <c r="C32" s="530" t="s">
        <v>65</v>
      </c>
      <c r="D32" s="531"/>
      <c r="E32" s="531"/>
      <c r="F32" s="531"/>
      <c r="G32" s="531"/>
      <c r="H32" s="532"/>
    </row>
    <row r="33" spans="1:10" customFormat="1" x14ac:dyDescent="0.25">
      <c r="A33" s="11"/>
      <c r="B33" s="12">
        <v>13</v>
      </c>
      <c r="C33" s="13" t="s">
        <v>64</v>
      </c>
      <c r="D33" s="68">
        <v>5084715</v>
      </c>
      <c r="E33" s="68">
        <v>5199992</v>
      </c>
      <c r="F33" s="68">
        <v>4973226</v>
      </c>
      <c r="G33" s="32"/>
      <c r="H33" s="32"/>
      <c r="J33" s="27" t="s">
        <v>111</v>
      </c>
    </row>
    <row r="34" spans="1:10" customFormat="1" x14ac:dyDescent="0.25">
      <c r="A34" s="11"/>
      <c r="B34" s="4">
        <v>14</v>
      </c>
      <c r="C34" s="16" t="s">
        <v>63</v>
      </c>
      <c r="D34" s="479">
        <v>0.1</v>
      </c>
      <c r="E34" s="467">
        <v>9.5000000000000001E-2</v>
      </c>
      <c r="F34" s="479">
        <v>0.10199999999999999</v>
      </c>
      <c r="G34" s="32"/>
      <c r="H34" s="32"/>
    </row>
    <row r="35" spans="1:10" customFormat="1" x14ac:dyDescent="0.25">
      <c r="B35" s="15"/>
      <c r="C35" s="539" t="s">
        <v>62</v>
      </c>
      <c r="D35" s="540"/>
      <c r="E35" s="540"/>
      <c r="F35" s="540"/>
      <c r="G35" s="540"/>
      <c r="H35" s="541"/>
    </row>
    <row r="36" spans="1:10" s="17" customFormat="1" ht="30" x14ac:dyDescent="0.25">
      <c r="B36" s="4" t="s">
        <v>61</v>
      </c>
      <c r="C36" s="5" t="s">
        <v>60</v>
      </c>
      <c r="D36" s="37">
        <v>0</v>
      </c>
      <c r="E36" s="37">
        <v>0</v>
      </c>
      <c r="F36" s="33"/>
      <c r="G36" s="33"/>
      <c r="H36" s="33"/>
    </row>
    <row r="37" spans="1:10" s="17" customFormat="1" x14ac:dyDescent="0.25">
      <c r="B37" s="4" t="s">
        <v>59</v>
      </c>
      <c r="C37" s="5" t="s">
        <v>58</v>
      </c>
      <c r="D37" s="37">
        <v>0</v>
      </c>
      <c r="E37" s="37">
        <v>0</v>
      </c>
      <c r="F37" s="33"/>
      <c r="G37" s="33"/>
      <c r="H37" s="33"/>
    </row>
    <row r="38" spans="1:10" s="17" customFormat="1" x14ac:dyDescent="0.25">
      <c r="B38" s="4" t="s">
        <v>57</v>
      </c>
      <c r="C38" s="523" t="s">
        <v>56</v>
      </c>
      <c r="D38" s="481">
        <v>0.03</v>
      </c>
      <c r="E38" s="481">
        <v>0.03</v>
      </c>
      <c r="F38" s="480"/>
      <c r="G38" s="480"/>
      <c r="H38" s="480"/>
    </row>
    <row r="39" spans="1:10" s="17" customFormat="1" x14ac:dyDescent="0.25">
      <c r="B39" s="15"/>
      <c r="C39" s="539" t="s">
        <v>55</v>
      </c>
      <c r="D39" s="540"/>
      <c r="E39" s="540"/>
      <c r="F39" s="540"/>
      <c r="G39" s="540"/>
      <c r="H39" s="541"/>
    </row>
    <row r="40" spans="1:10" s="17" customFormat="1" x14ac:dyDescent="0.25">
      <c r="B40" s="4" t="s">
        <v>54</v>
      </c>
      <c r="C40" s="18" t="s">
        <v>53</v>
      </c>
      <c r="D40" s="481">
        <v>0</v>
      </c>
      <c r="E40" s="481">
        <v>0</v>
      </c>
      <c r="F40" s="480"/>
      <c r="G40" s="480"/>
      <c r="H40" s="480"/>
    </row>
    <row r="41" spans="1:10" s="17" customFormat="1" x14ac:dyDescent="0.25">
      <c r="B41" s="4" t="s">
        <v>52</v>
      </c>
      <c r="C41" s="524" t="s">
        <v>51</v>
      </c>
      <c r="D41" s="481">
        <v>0.03</v>
      </c>
      <c r="E41" s="481">
        <v>0.03</v>
      </c>
      <c r="F41" s="480"/>
      <c r="G41" s="480"/>
      <c r="H41" s="480"/>
    </row>
    <row r="42" spans="1:10" customFormat="1" x14ac:dyDescent="0.25">
      <c r="A42" s="11"/>
      <c r="B42" s="15"/>
      <c r="C42" s="530" t="s">
        <v>50</v>
      </c>
      <c r="D42" s="531"/>
      <c r="E42" s="531"/>
      <c r="F42" s="531"/>
      <c r="G42" s="531"/>
      <c r="H42" s="532"/>
    </row>
    <row r="43" spans="1:10" customFormat="1" x14ac:dyDescent="0.25">
      <c r="A43" s="11"/>
      <c r="B43" s="12">
        <v>15</v>
      </c>
      <c r="C43" s="13" t="s">
        <v>49</v>
      </c>
      <c r="D43" s="466">
        <v>2192560</v>
      </c>
      <c r="E43" s="466">
        <v>1885267</v>
      </c>
      <c r="F43" s="32"/>
      <c r="G43" s="32"/>
      <c r="H43" s="32"/>
      <c r="J43" t="s">
        <v>105</v>
      </c>
    </row>
    <row r="44" spans="1:10" customFormat="1" x14ac:dyDescent="0.25">
      <c r="A44" s="11"/>
      <c r="B44" s="4" t="s">
        <v>48</v>
      </c>
      <c r="C44" s="16" t="s">
        <v>47</v>
      </c>
      <c r="D44" s="466">
        <v>489562</v>
      </c>
      <c r="E44" s="466">
        <v>500245</v>
      </c>
      <c r="F44" s="32"/>
      <c r="G44" s="32"/>
      <c r="H44" s="32"/>
      <c r="J44" t="s">
        <v>106</v>
      </c>
    </row>
    <row r="45" spans="1:10" customFormat="1" x14ac:dyDescent="0.25">
      <c r="A45" s="11"/>
      <c r="B45" s="4" t="s">
        <v>46</v>
      </c>
      <c r="C45" s="16" t="s">
        <v>45</v>
      </c>
      <c r="D45" s="466">
        <v>54008</v>
      </c>
      <c r="E45" s="466">
        <v>97100</v>
      </c>
      <c r="F45" s="32"/>
      <c r="G45" s="32"/>
      <c r="H45" s="32"/>
      <c r="J45" t="s">
        <v>107</v>
      </c>
    </row>
    <row r="46" spans="1:10" customFormat="1" x14ac:dyDescent="0.25">
      <c r="A46" s="11"/>
      <c r="B46" s="12">
        <v>16</v>
      </c>
      <c r="C46" s="13" t="s">
        <v>44</v>
      </c>
      <c r="D46" s="466">
        <v>435553</v>
      </c>
      <c r="E46" s="466">
        <v>403144</v>
      </c>
      <c r="F46" s="32"/>
      <c r="G46" s="32"/>
      <c r="H46" s="32"/>
      <c r="I46" s="38">
        <f>+D44-D45</f>
        <v>435554</v>
      </c>
      <c r="J46" t="s">
        <v>108</v>
      </c>
    </row>
    <row r="47" spans="1:10" customFormat="1" x14ac:dyDescent="0.25">
      <c r="A47" s="11"/>
      <c r="B47" s="12">
        <v>17</v>
      </c>
      <c r="C47" s="13" t="s">
        <v>43</v>
      </c>
      <c r="D47" s="497">
        <f>+D43/D46</f>
        <v>5.033968311548767</v>
      </c>
      <c r="E47" s="497">
        <f>+E43/E46</f>
        <v>4.6764109102454707</v>
      </c>
      <c r="F47" s="32"/>
      <c r="G47" s="32"/>
      <c r="H47" s="32"/>
      <c r="I47" s="69"/>
      <c r="J47" t="s">
        <v>108</v>
      </c>
    </row>
    <row r="48" spans="1:10" customFormat="1" x14ac:dyDescent="0.25">
      <c r="A48" s="11"/>
      <c r="B48" s="15"/>
      <c r="C48" s="530" t="s">
        <v>42</v>
      </c>
      <c r="D48" s="531"/>
      <c r="E48" s="531"/>
      <c r="F48" s="531"/>
      <c r="G48" s="531"/>
      <c r="H48" s="532"/>
      <c r="J48" s="38"/>
    </row>
    <row r="49" spans="1:10" customFormat="1" x14ac:dyDescent="0.25">
      <c r="A49" s="11"/>
      <c r="B49" s="12">
        <v>18</v>
      </c>
      <c r="C49" s="13" t="s">
        <v>41</v>
      </c>
      <c r="D49" s="68">
        <v>3947625</v>
      </c>
      <c r="E49" s="68">
        <v>3791062</v>
      </c>
      <c r="F49" s="32"/>
      <c r="G49" s="32"/>
      <c r="H49" s="32"/>
      <c r="J49" t="s">
        <v>110</v>
      </c>
    </row>
    <row r="50" spans="1:10" customFormat="1" x14ac:dyDescent="0.25">
      <c r="A50" s="11"/>
      <c r="B50" s="12">
        <v>19</v>
      </c>
      <c r="C50" s="14" t="s">
        <v>40</v>
      </c>
      <c r="D50" s="68">
        <v>2259765</v>
      </c>
      <c r="E50" s="68">
        <v>2291874</v>
      </c>
      <c r="F50" s="32"/>
      <c r="G50" s="32"/>
      <c r="H50" s="32"/>
      <c r="J50" t="s">
        <v>109</v>
      </c>
    </row>
    <row r="51" spans="1:10" customFormat="1" x14ac:dyDescent="0.25">
      <c r="A51" s="11"/>
      <c r="B51" s="12">
        <v>20</v>
      </c>
      <c r="C51" s="13" t="s">
        <v>39</v>
      </c>
      <c r="D51" s="71">
        <f>+D49/D50</f>
        <v>1.7469183742557302</v>
      </c>
      <c r="E51" s="71">
        <f>+E49/E50</f>
        <v>1.6541319461715609</v>
      </c>
      <c r="F51" s="32"/>
      <c r="G51" s="32"/>
      <c r="H51" s="32"/>
    </row>
    <row r="52" spans="1:10" x14ac:dyDescent="0.25">
      <c r="A52" s="260"/>
    </row>
    <row r="53" spans="1:10" x14ac:dyDescent="0.25">
      <c r="A53" s="260"/>
    </row>
    <row r="54" spans="1:10" x14ac:dyDescent="0.25">
      <c r="A54" s="260"/>
    </row>
    <row r="55" spans="1:10" x14ac:dyDescent="0.25">
      <c r="A55" s="260"/>
    </row>
    <row r="56" spans="1:10" x14ac:dyDescent="0.25">
      <c r="A56" s="260"/>
    </row>
    <row r="57" spans="1:10" x14ac:dyDescent="0.25">
      <c r="A57" s="260"/>
    </row>
    <row r="58" spans="1:10" x14ac:dyDescent="0.25">
      <c r="A58" s="260"/>
    </row>
    <row r="59" spans="1:10" x14ac:dyDescent="0.25">
      <c r="A59" s="260"/>
    </row>
    <row r="60" spans="1:10" x14ac:dyDescent="0.25">
      <c r="A60" s="260"/>
    </row>
    <row r="61" spans="1:10" x14ac:dyDescent="0.25">
      <c r="A61" s="260"/>
    </row>
    <row r="62" spans="1:10" x14ac:dyDescent="0.25">
      <c r="A62" s="260"/>
    </row>
    <row r="63" spans="1:10" x14ac:dyDescent="0.25">
      <c r="A63" s="260"/>
    </row>
    <row r="64" spans="1:10" x14ac:dyDescent="0.25">
      <c r="A64" s="260"/>
    </row>
    <row r="65" spans="1:1" x14ac:dyDescent="0.25">
      <c r="A65" s="260"/>
    </row>
    <row r="66" spans="1:1" x14ac:dyDescent="0.25">
      <c r="A66" s="260"/>
    </row>
    <row r="67" spans="1:1" x14ac:dyDescent="0.25">
      <c r="A67" s="260"/>
    </row>
    <row r="68" spans="1:1" x14ac:dyDescent="0.25">
      <c r="A68" s="260"/>
    </row>
    <row r="69" spans="1:1" x14ac:dyDescent="0.25">
      <c r="A69" s="260"/>
    </row>
    <row r="70" spans="1:1" x14ac:dyDescent="0.25">
      <c r="A70" s="260"/>
    </row>
    <row r="71" spans="1:1" x14ac:dyDescent="0.25">
      <c r="A71" s="260"/>
    </row>
    <row r="72" spans="1:1" x14ac:dyDescent="0.25">
      <c r="A72" s="260"/>
    </row>
    <row r="73" spans="1:1" x14ac:dyDescent="0.25">
      <c r="A73" s="260"/>
    </row>
    <row r="74" spans="1:1" x14ac:dyDescent="0.25">
      <c r="A74" s="260"/>
    </row>
    <row r="75" spans="1:1" x14ac:dyDescent="0.25">
      <c r="A75" s="260"/>
    </row>
    <row r="76" spans="1:1" x14ac:dyDescent="0.25">
      <c r="A76" s="260"/>
    </row>
    <row r="77" spans="1:1" x14ac:dyDescent="0.25">
      <c r="A77" s="260"/>
    </row>
    <row r="78" spans="1:1" x14ac:dyDescent="0.25">
      <c r="A78" s="260"/>
    </row>
    <row r="79" spans="1:1" x14ac:dyDescent="0.25">
      <c r="A79" s="260"/>
    </row>
    <row r="80" spans="1:1" x14ac:dyDescent="0.25">
      <c r="A80" s="260"/>
    </row>
    <row r="81" spans="1:1" x14ac:dyDescent="0.25">
      <c r="A81" s="260"/>
    </row>
    <row r="82" spans="1:1" x14ac:dyDescent="0.25">
      <c r="A82" s="260"/>
    </row>
    <row r="83" spans="1:1" x14ac:dyDescent="0.25">
      <c r="A83" s="260"/>
    </row>
    <row r="84" spans="1:1" x14ac:dyDescent="0.25">
      <c r="A84" s="260"/>
    </row>
    <row r="85" spans="1:1" x14ac:dyDescent="0.25">
      <c r="A85" s="260"/>
    </row>
    <row r="86" spans="1:1" x14ac:dyDescent="0.25">
      <c r="A86" s="260"/>
    </row>
    <row r="87" spans="1:1" x14ac:dyDescent="0.25">
      <c r="A87" s="260"/>
    </row>
    <row r="88" spans="1:1" x14ac:dyDescent="0.25">
      <c r="A88" s="260"/>
    </row>
    <row r="89" spans="1:1" x14ac:dyDescent="0.25">
      <c r="A89" s="260"/>
    </row>
    <row r="90" spans="1:1" x14ac:dyDescent="0.25">
      <c r="A90" s="260"/>
    </row>
    <row r="91" spans="1:1" x14ac:dyDescent="0.25">
      <c r="A91" s="260"/>
    </row>
    <row r="92" spans="1:1" x14ac:dyDescent="0.25">
      <c r="A92" s="260"/>
    </row>
    <row r="93" spans="1:1" x14ac:dyDescent="0.25">
      <c r="A93" s="260"/>
    </row>
    <row r="94" spans="1:1" x14ac:dyDescent="0.25">
      <c r="A94" s="260"/>
    </row>
    <row r="95" spans="1:1" x14ac:dyDescent="0.25">
      <c r="A95" s="260"/>
    </row>
    <row r="96" spans="1:1" x14ac:dyDescent="0.25">
      <c r="A96" s="260"/>
    </row>
    <row r="97" spans="1:10" x14ac:dyDescent="0.25">
      <c r="A97" s="260"/>
    </row>
    <row r="98" spans="1:10" x14ac:dyDescent="0.25">
      <c r="A98" s="260"/>
    </row>
    <row r="99" spans="1:10" x14ac:dyDescent="0.25">
      <c r="A99" s="260"/>
    </row>
    <row r="100" spans="1:10" x14ac:dyDescent="0.25">
      <c r="A100" s="260"/>
    </row>
    <row r="101" spans="1:10" x14ac:dyDescent="0.25">
      <c r="A101" s="260"/>
    </row>
    <row r="102" spans="1:10" x14ac:dyDescent="0.25">
      <c r="A102" s="260"/>
    </row>
    <row r="103" spans="1:10" x14ac:dyDescent="0.25">
      <c r="A103" s="260"/>
    </row>
    <row r="104" spans="1:10" x14ac:dyDescent="0.25">
      <c r="A104" s="260"/>
    </row>
    <row r="105" spans="1:10" x14ac:dyDescent="0.25">
      <c r="A105" s="260"/>
      <c r="B105" s="260"/>
      <c r="C105" s="260"/>
      <c r="D105" s="260"/>
      <c r="E105" s="260"/>
      <c r="F105" s="260"/>
      <c r="G105" s="260"/>
      <c r="H105" s="260"/>
      <c r="I105" s="260"/>
      <c r="J105" s="260"/>
    </row>
    <row r="106" spans="1:10" x14ac:dyDescent="0.25">
      <c r="A106" s="260"/>
      <c r="B106" s="260"/>
      <c r="C106" s="260"/>
      <c r="D106" s="260"/>
      <c r="E106" s="260"/>
      <c r="F106" s="260"/>
      <c r="G106" s="260"/>
      <c r="H106" s="260"/>
      <c r="I106" s="260"/>
      <c r="J106" s="260"/>
    </row>
    <row r="107" spans="1:10" x14ac:dyDescent="0.25">
      <c r="A107" s="260"/>
      <c r="B107" s="260"/>
      <c r="C107" s="260"/>
      <c r="D107" s="260"/>
      <c r="E107" s="260"/>
      <c r="F107" s="260"/>
      <c r="G107" s="260"/>
      <c r="H107" s="260"/>
      <c r="I107" s="260"/>
      <c r="J107" s="260"/>
    </row>
    <row r="108" spans="1:10" x14ac:dyDescent="0.25">
      <c r="A108" s="260"/>
      <c r="B108" s="260"/>
      <c r="C108" s="260"/>
      <c r="D108" s="260"/>
      <c r="E108" s="260"/>
      <c r="F108" s="260"/>
      <c r="G108" s="260"/>
      <c r="H108" s="260"/>
      <c r="I108" s="260"/>
      <c r="J108" s="260"/>
    </row>
    <row r="109" spans="1:10" x14ac:dyDescent="0.25">
      <c r="A109" s="260"/>
      <c r="B109" s="260"/>
      <c r="C109" s="260"/>
      <c r="D109" s="260"/>
      <c r="E109" s="260"/>
      <c r="F109" s="260"/>
      <c r="G109" s="260"/>
      <c r="H109" s="260"/>
      <c r="I109" s="260"/>
      <c r="J109" s="260"/>
    </row>
    <row r="110" spans="1:10" x14ac:dyDescent="0.25">
      <c r="A110" s="260"/>
      <c r="B110" s="260"/>
      <c r="C110" s="260"/>
      <c r="D110" s="260"/>
      <c r="E110" s="260"/>
      <c r="F110" s="260"/>
      <c r="G110" s="260"/>
      <c r="H110" s="260"/>
      <c r="I110" s="260"/>
      <c r="J110" s="260"/>
    </row>
    <row r="111" spans="1:10" x14ac:dyDescent="0.25">
      <c r="A111" s="260"/>
      <c r="B111" s="260"/>
      <c r="C111" s="260"/>
      <c r="D111" s="260"/>
      <c r="E111" s="260"/>
      <c r="F111" s="260"/>
      <c r="G111" s="260"/>
      <c r="H111" s="260"/>
      <c r="I111" s="260"/>
      <c r="J111" s="260"/>
    </row>
    <row r="112" spans="1:10" x14ac:dyDescent="0.25">
      <c r="A112" s="260"/>
      <c r="B112" s="260"/>
      <c r="C112" s="260"/>
      <c r="D112" s="260"/>
      <c r="E112" s="260"/>
      <c r="F112" s="260"/>
      <c r="G112" s="260"/>
      <c r="H112" s="260"/>
      <c r="I112" s="260"/>
      <c r="J112" s="260"/>
    </row>
    <row r="113" spans="1:10" x14ac:dyDescent="0.25">
      <c r="A113" s="260"/>
      <c r="B113" s="260"/>
      <c r="C113" s="260"/>
      <c r="D113" s="260"/>
      <c r="E113" s="260"/>
      <c r="F113" s="260"/>
      <c r="G113" s="260"/>
      <c r="H113" s="260"/>
      <c r="I113" s="260"/>
      <c r="J113" s="260"/>
    </row>
    <row r="114" spans="1:10" x14ac:dyDescent="0.25">
      <c r="A114" s="260"/>
      <c r="B114" s="260"/>
      <c r="C114" s="260"/>
      <c r="D114" s="260"/>
      <c r="E114" s="260"/>
      <c r="F114" s="260"/>
      <c r="G114" s="260"/>
      <c r="H114" s="260"/>
      <c r="I114" s="260"/>
      <c r="J114" s="260"/>
    </row>
    <row r="115" spans="1:10" x14ac:dyDescent="0.25">
      <c r="A115" s="260"/>
      <c r="B115" s="260"/>
      <c r="C115" s="260"/>
      <c r="D115" s="260"/>
      <c r="E115" s="260"/>
      <c r="F115" s="260"/>
      <c r="G115" s="260"/>
      <c r="H115" s="260"/>
      <c r="I115" s="260"/>
      <c r="J115" s="260"/>
    </row>
    <row r="116" spans="1:10" x14ac:dyDescent="0.25">
      <c r="A116" s="260"/>
      <c r="B116" s="260"/>
      <c r="C116" s="260"/>
      <c r="D116" s="260"/>
      <c r="E116" s="260"/>
      <c r="F116" s="260"/>
      <c r="G116" s="260"/>
      <c r="H116" s="260"/>
      <c r="I116" s="260"/>
      <c r="J116" s="260"/>
    </row>
    <row r="117" spans="1:10" x14ac:dyDescent="0.25">
      <c r="A117" s="260"/>
      <c r="B117" s="260"/>
      <c r="C117" s="260"/>
      <c r="D117" s="260"/>
      <c r="E117" s="260"/>
      <c r="F117" s="260"/>
      <c r="G117" s="260"/>
      <c r="H117" s="260"/>
      <c r="I117" s="260"/>
      <c r="J117" s="260"/>
    </row>
    <row r="118" spans="1:10" x14ac:dyDescent="0.25">
      <c r="A118" s="260"/>
      <c r="B118" s="260"/>
      <c r="C118" s="260"/>
      <c r="D118" s="260"/>
      <c r="E118" s="260"/>
      <c r="F118" s="260"/>
      <c r="G118" s="260"/>
      <c r="H118" s="260"/>
      <c r="I118" s="260"/>
      <c r="J118" s="260"/>
    </row>
    <row r="119" spans="1:10" x14ac:dyDescent="0.25">
      <c r="A119" s="260"/>
      <c r="B119" s="260"/>
      <c r="C119" s="260"/>
      <c r="D119" s="260"/>
      <c r="E119" s="260"/>
      <c r="F119" s="260"/>
      <c r="G119" s="260"/>
      <c r="H119" s="260"/>
      <c r="I119" s="260"/>
      <c r="J119" s="260"/>
    </row>
    <row r="120" spans="1:10" x14ac:dyDescent="0.25">
      <c r="A120" s="260"/>
      <c r="B120" s="260"/>
      <c r="C120" s="260"/>
      <c r="D120" s="260"/>
      <c r="E120" s="260"/>
      <c r="F120" s="260"/>
      <c r="G120" s="260"/>
      <c r="H120" s="260"/>
      <c r="I120" s="260"/>
      <c r="J120" s="260"/>
    </row>
    <row r="121" spans="1:10" x14ac:dyDescent="0.25">
      <c r="A121" s="260"/>
      <c r="B121" s="260"/>
      <c r="C121" s="260"/>
      <c r="D121" s="260"/>
      <c r="E121" s="260"/>
      <c r="F121" s="260"/>
      <c r="G121" s="260"/>
      <c r="H121" s="260"/>
      <c r="I121" s="260"/>
      <c r="J121" s="260"/>
    </row>
    <row r="122" spans="1:10" x14ac:dyDescent="0.25">
      <c r="A122" s="260"/>
      <c r="B122" s="260"/>
      <c r="C122" s="260"/>
      <c r="D122" s="260"/>
      <c r="E122" s="260"/>
      <c r="F122" s="260"/>
      <c r="G122" s="260"/>
      <c r="H122" s="260"/>
      <c r="I122" s="260"/>
      <c r="J122" s="260"/>
    </row>
    <row r="123" spans="1:10" x14ac:dyDescent="0.25">
      <c r="A123" s="260"/>
      <c r="B123" s="260"/>
      <c r="C123" s="260"/>
      <c r="D123" s="260"/>
      <c r="E123" s="260"/>
      <c r="F123" s="260"/>
      <c r="G123" s="260"/>
      <c r="H123" s="260"/>
      <c r="I123" s="260"/>
      <c r="J123" s="260"/>
    </row>
    <row r="124" spans="1:10" x14ac:dyDescent="0.25">
      <c r="A124" s="260"/>
      <c r="B124" s="260"/>
      <c r="C124" s="260"/>
      <c r="D124" s="260"/>
      <c r="E124" s="260"/>
      <c r="F124" s="260"/>
      <c r="G124" s="260"/>
      <c r="H124" s="260"/>
      <c r="I124" s="260"/>
      <c r="J124" s="260"/>
    </row>
    <row r="125" spans="1:10" x14ac:dyDescent="0.25">
      <c r="A125" s="260"/>
      <c r="B125" s="260"/>
      <c r="C125" s="260"/>
      <c r="D125" s="260"/>
      <c r="E125" s="260"/>
      <c r="F125" s="260"/>
      <c r="G125" s="260"/>
      <c r="H125" s="260"/>
      <c r="I125" s="260"/>
      <c r="J125" s="260"/>
    </row>
    <row r="126" spans="1:10" x14ac:dyDescent="0.25">
      <c r="A126" s="260"/>
      <c r="B126" s="260"/>
      <c r="C126" s="260"/>
      <c r="D126" s="260"/>
      <c r="E126" s="260"/>
      <c r="F126" s="260"/>
      <c r="G126" s="260"/>
      <c r="H126" s="260"/>
      <c r="I126" s="260"/>
      <c r="J126" s="260"/>
    </row>
    <row r="127" spans="1:10" x14ac:dyDescent="0.25">
      <c r="A127" s="260"/>
      <c r="B127" s="260"/>
      <c r="C127" s="260"/>
      <c r="D127" s="260"/>
      <c r="E127" s="260"/>
      <c r="F127" s="260"/>
      <c r="G127" s="260"/>
      <c r="H127" s="260"/>
      <c r="I127" s="260"/>
      <c r="J127" s="260"/>
    </row>
    <row r="128" spans="1:10" x14ac:dyDescent="0.25">
      <c r="A128" s="260"/>
      <c r="B128" s="260"/>
      <c r="C128" s="260"/>
      <c r="D128" s="260"/>
      <c r="E128" s="260"/>
      <c r="F128" s="260"/>
      <c r="G128" s="260"/>
      <c r="H128" s="260"/>
      <c r="I128" s="260"/>
      <c r="J128" s="260"/>
    </row>
    <row r="129" spans="1:10" x14ac:dyDescent="0.25">
      <c r="A129" s="260"/>
      <c r="B129" s="260"/>
      <c r="C129" s="260"/>
      <c r="D129" s="260"/>
      <c r="E129" s="260"/>
      <c r="F129" s="260"/>
      <c r="G129" s="260"/>
      <c r="H129" s="260"/>
      <c r="I129" s="260"/>
      <c r="J129" s="260"/>
    </row>
    <row r="130" spans="1:10" x14ac:dyDescent="0.25">
      <c r="A130" s="260"/>
      <c r="B130" s="260"/>
      <c r="C130" s="260"/>
      <c r="D130" s="260"/>
      <c r="E130" s="260"/>
      <c r="F130" s="260"/>
      <c r="G130" s="260"/>
      <c r="H130" s="260"/>
      <c r="I130" s="260"/>
      <c r="J130" s="260"/>
    </row>
    <row r="131" spans="1:10" x14ac:dyDescent="0.25">
      <c r="A131" s="260"/>
      <c r="B131" s="260"/>
      <c r="C131" s="260"/>
      <c r="D131" s="260"/>
      <c r="E131" s="260"/>
      <c r="F131" s="260"/>
      <c r="G131" s="260"/>
      <c r="H131" s="260"/>
      <c r="I131" s="260"/>
      <c r="J131" s="260"/>
    </row>
    <row r="132" spans="1:10" x14ac:dyDescent="0.25">
      <c r="A132" s="260"/>
      <c r="B132" s="260"/>
      <c r="C132" s="260"/>
      <c r="D132" s="260"/>
      <c r="E132" s="260"/>
      <c r="F132" s="260"/>
      <c r="G132" s="260"/>
      <c r="H132" s="260"/>
      <c r="I132" s="260"/>
      <c r="J132" s="260"/>
    </row>
    <row r="133" spans="1:10" x14ac:dyDescent="0.25">
      <c r="A133" s="260"/>
      <c r="B133" s="260"/>
      <c r="C133" s="260"/>
      <c r="D133" s="260"/>
      <c r="E133" s="260"/>
      <c r="F133" s="260"/>
      <c r="G133" s="260"/>
      <c r="H133" s="260"/>
      <c r="I133" s="260"/>
      <c r="J133" s="260"/>
    </row>
    <row r="134" spans="1:10" x14ac:dyDescent="0.25">
      <c r="A134" s="260"/>
      <c r="B134" s="260"/>
      <c r="C134" s="260"/>
      <c r="D134" s="260"/>
      <c r="E134" s="260"/>
      <c r="F134" s="260"/>
      <c r="G134" s="260"/>
      <c r="H134" s="260"/>
      <c r="I134" s="260"/>
      <c r="J134" s="260"/>
    </row>
    <row r="145" s="261" customFormat="1" x14ac:dyDescent="0.25"/>
    <row r="146" s="261" customFormat="1" x14ac:dyDescent="0.25"/>
  </sheetData>
  <sheetProtection algorithmName="SHA-512" hashValue="ieV4OUTbk4XAFumKZ4azhUhlgHlfuGE4f8vAlWbLb+Em2Fu6t16rJsQWx8Vjsbf0b+xOcNbAI0X6rZizFAr3dg==" saltValue="KVqyECQI9I0R2B3njmFkxA==" spinCount="100000" sheet="1" objects="1" scenarios="1"/>
  <mergeCells count="10">
    <mergeCell ref="C32:H32"/>
    <mergeCell ref="C42:H42"/>
    <mergeCell ref="C48:H48"/>
    <mergeCell ref="C7:H7"/>
    <mergeCell ref="C11:H11"/>
    <mergeCell ref="C13:H13"/>
    <mergeCell ref="C17:H17"/>
    <mergeCell ref="C22:H22"/>
    <mergeCell ref="C35:H35"/>
    <mergeCell ref="C39:H39"/>
  </mergeCells>
  <pageMargins left="0.70866141732283472" right="0.70866141732283472" top="0.74803149606299213" bottom="0.74803149606299213" header="0.31496062992125984" footer="0.31496062992125984"/>
  <pageSetup paperSize="9" scale="64" orientation="portrait" r:id="rId1"/>
  <headerFooter>
    <oddHeader>&amp;CDA
Bilag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B4E2D-BD15-48BF-AFFF-E5B23D3E3BD2}">
  <sheetPr>
    <tabColor theme="0" tint="-0.14999847407452621"/>
    <pageSetUpPr fitToPage="1"/>
  </sheetPr>
  <dimension ref="B3:P48"/>
  <sheetViews>
    <sheetView workbookViewId="0"/>
  </sheetViews>
  <sheetFormatPr defaultColWidth="9.140625" defaultRowHeight="15" x14ac:dyDescent="0.25"/>
  <cols>
    <col min="2" max="2" width="7.5703125" style="39" customWidth="1"/>
    <col min="3" max="3" width="44" customWidth="1"/>
    <col min="4" max="5" width="23" customWidth="1"/>
    <col min="6" max="10" width="21.140625" customWidth="1"/>
  </cols>
  <sheetData>
    <row r="3" spans="2:16" ht="24" customHeight="1" x14ac:dyDescent="0.25">
      <c r="C3" s="40" t="s">
        <v>114</v>
      </c>
      <c r="D3" s="40"/>
      <c r="E3" s="40"/>
      <c r="F3" s="40"/>
      <c r="G3" s="40"/>
      <c r="H3" s="40"/>
      <c r="I3" s="40"/>
      <c r="J3" s="40"/>
    </row>
    <row r="4" spans="2:16" x14ac:dyDescent="0.25">
      <c r="C4" s="3" t="s">
        <v>654</v>
      </c>
    </row>
    <row r="5" spans="2:16" x14ac:dyDescent="0.25">
      <c r="B5"/>
    </row>
    <row r="6" spans="2:16" x14ac:dyDescent="0.25">
      <c r="B6"/>
      <c r="D6" s="41" t="s">
        <v>2</v>
      </c>
      <c r="E6" s="41" t="s">
        <v>3</v>
      </c>
      <c r="F6" s="41" t="s">
        <v>4</v>
      </c>
      <c r="G6" s="41" t="s">
        <v>100</v>
      </c>
      <c r="H6" s="41" t="s">
        <v>99</v>
      </c>
      <c r="I6" s="41" t="s">
        <v>115</v>
      </c>
      <c r="J6" s="41" t="s">
        <v>116</v>
      </c>
    </row>
    <row r="7" spans="2:16" x14ac:dyDescent="0.25">
      <c r="B7"/>
      <c r="C7" t="s">
        <v>117</v>
      </c>
      <c r="D7" s="545" t="s">
        <v>118</v>
      </c>
      <c r="E7" s="546" t="s">
        <v>119</v>
      </c>
      <c r="F7" s="545" t="s">
        <v>120</v>
      </c>
      <c r="G7" s="545"/>
      <c r="H7" s="545"/>
      <c r="I7" s="545"/>
      <c r="J7" s="545"/>
    </row>
    <row r="8" spans="2:16" ht="90.75" customHeight="1" x14ac:dyDescent="0.25">
      <c r="B8"/>
      <c r="D8" s="545"/>
      <c r="E8" s="546"/>
      <c r="F8" s="41" t="s">
        <v>121</v>
      </c>
      <c r="G8" s="41" t="s">
        <v>122</v>
      </c>
      <c r="H8" s="41" t="s">
        <v>123</v>
      </c>
      <c r="I8" s="41" t="s">
        <v>124</v>
      </c>
      <c r="J8" s="41" t="s">
        <v>125</v>
      </c>
    </row>
    <row r="9" spans="2:16" ht="45" x14ac:dyDescent="0.25">
      <c r="C9" s="42" t="s">
        <v>126</v>
      </c>
      <c r="D9" s="43"/>
      <c r="E9" s="44"/>
      <c r="F9" s="44"/>
      <c r="G9" s="44"/>
      <c r="H9" s="44"/>
      <c r="I9" s="44"/>
      <c r="J9" s="44"/>
      <c r="P9" s="45"/>
    </row>
    <row r="10" spans="2:16" ht="30" x14ac:dyDescent="0.25">
      <c r="B10" s="46">
        <v>1</v>
      </c>
      <c r="C10" s="47" t="s">
        <v>156</v>
      </c>
      <c r="D10" s="72">
        <v>873272</v>
      </c>
      <c r="E10" s="262"/>
      <c r="F10" s="264">
        <f>+D10</f>
        <v>873272</v>
      </c>
      <c r="G10" s="264"/>
      <c r="H10" s="264"/>
      <c r="I10" s="264"/>
      <c r="J10" s="264"/>
      <c r="K10" s="267"/>
    </row>
    <row r="11" spans="2:16" ht="30" x14ac:dyDescent="0.25">
      <c r="B11" s="46">
        <v>2</v>
      </c>
      <c r="C11" s="47" t="s">
        <v>157</v>
      </c>
      <c r="D11" s="72">
        <v>34949</v>
      </c>
      <c r="E11" s="262"/>
      <c r="F11" s="264">
        <f>+D11</f>
        <v>34949</v>
      </c>
      <c r="G11" s="264"/>
      <c r="H11" s="264"/>
      <c r="I11" s="264"/>
      <c r="J11" s="264"/>
      <c r="K11" s="267"/>
    </row>
    <row r="12" spans="2:16" ht="30" x14ac:dyDescent="0.25">
      <c r="B12" s="46">
        <v>3</v>
      </c>
      <c r="C12" s="47" t="s">
        <v>158</v>
      </c>
      <c r="D12" s="72">
        <v>1771787</v>
      </c>
      <c r="E12" s="262"/>
      <c r="F12" s="264">
        <f>+D12-J12</f>
        <v>1761787</v>
      </c>
      <c r="G12" s="264"/>
      <c r="H12" s="264"/>
      <c r="I12" s="264"/>
      <c r="J12" s="264">
        <f>6000+4000</f>
        <v>10000</v>
      </c>
      <c r="K12" s="267"/>
    </row>
    <row r="13" spans="2:16" x14ac:dyDescent="0.25">
      <c r="B13" s="49" t="s">
        <v>165</v>
      </c>
      <c r="C13" s="47" t="s">
        <v>159</v>
      </c>
      <c r="D13" s="72">
        <v>1346358</v>
      </c>
      <c r="E13" s="262"/>
      <c r="F13" s="264"/>
      <c r="G13" s="264"/>
      <c r="H13" s="264"/>
      <c r="I13" s="264">
        <f>+D13</f>
        <v>1346358</v>
      </c>
      <c r="J13" s="264"/>
      <c r="K13" s="267"/>
    </row>
    <row r="14" spans="2:16" x14ac:dyDescent="0.25">
      <c r="B14" s="49" t="s">
        <v>166</v>
      </c>
      <c r="C14" s="47" t="s">
        <v>160</v>
      </c>
      <c r="D14" s="72">
        <v>172607</v>
      </c>
      <c r="E14" s="262"/>
      <c r="F14" s="264">
        <f>163967-102882</f>
        <v>61085</v>
      </c>
      <c r="G14" s="264"/>
      <c r="H14" s="264"/>
      <c r="I14" s="264">
        <f>+D14-F14-J14</f>
        <v>12640</v>
      </c>
      <c r="J14" s="264">
        <f>102882-4000</f>
        <v>98882</v>
      </c>
      <c r="K14" s="267"/>
    </row>
    <row r="15" spans="2:16" x14ac:dyDescent="0.25">
      <c r="B15" s="49" t="s">
        <v>167</v>
      </c>
      <c r="C15" s="47" t="s">
        <v>162</v>
      </c>
      <c r="D15" s="72">
        <v>339</v>
      </c>
      <c r="E15" s="262"/>
      <c r="F15" s="264">
        <f>+D15</f>
        <v>339</v>
      </c>
      <c r="G15" s="264"/>
      <c r="H15" s="264"/>
      <c r="I15" s="264"/>
      <c r="J15" s="264"/>
      <c r="K15" s="267"/>
    </row>
    <row r="16" spans="2:16" x14ac:dyDescent="0.25">
      <c r="B16" s="49" t="s">
        <v>168</v>
      </c>
      <c r="C16" s="47" t="s">
        <v>163</v>
      </c>
      <c r="D16" s="72">
        <v>768043</v>
      </c>
      <c r="E16" s="262"/>
      <c r="F16" s="264"/>
      <c r="G16" s="264"/>
      <c r="H16" s="264"/>
      <c r="I16" s="264"/>
      <c r="J16" s="264">
        <f>+D16</f>
        <v>768043</v>
      </c>
      <c r="K16" s="267"/>
    </row>
    <row r="17" spans="2:12" x14ac:dyDescent="0.25">
      <c r="B17" s="49" t="s">
        <v>169</v>
      </c>
      <c r="C17" s="47" t="s">
        <v>164</v>
      </c>
      <c r="D17" s="72">
        <f>238+60644+10035+34874+3339</f>
        <v>109130</v>
      </c>
      <c r="E17" s="262"/>
      <c r="F17" s="264">
        <f>+D17-G17-J17</f>
        <v>107839</v>
      </c>
      <c r="G17" s="264">
        <v>1053</v>
      </c>
      <c r="H17" s="264"/>
      <c r="I17" s="264"/>
      <c r="J17" s="264">
        <v>238</v>
      </c>
      <c r="K17" s="267"/>
    </row>
    <row r="18" spans="2:12" x14ac:dyDescent="0.25">
      <c r="B18" s="50" t="s">
        <v>127</v>
      </c>
      <c r="C18" s="51" t="s">
        <v>128</v>
      </c>
      <c r="D18" s="268">
        <f>SUM(D10:D17)</f>
        <v>5076485</v>
      </c>
      <c r="E18" s="57"/>
      <c r="F18" s="268">
        <f>SUM(F10:F17)</f>
        <v>2839271</v>
      </c>
      <c r="G18" s="268">
        <f>SUM(G10:G17)</f>
        <v>1053</v>
      </c>
      <c r="H18" s="269"/>
      <c r="I18" s="268">
        <f>SUM(I10:I17)</f>
        <v>1358998</v>
      </c>
      <c r="J18" s="268">
        <f>SUM(J10:J17)</f>
        <v>877163</v>
      </c>
    </row>
    <row r="19" spans="2:12" x14ac:dyDescent="0.25">
      <c r="B19" s="46"/>
      <c r="C19" s="47"/>
      <c r="D19" s="48"/>
      <c r="E19" s="262"/>
      <c r="F19" s="265"/>
      <c r="G19" s="265"/>
      <c r="H19" s="265"/>
      <c r="I19" s="266"/>
      <c r="J19" s="266"/>
    </row>
    <row r="20" spans="2:12" ht="45" x14ac:dyDescent="0.25">
      <c r="B20" s="46"/>
      <c r="C20" s="42" t="s">
        <v>129</v>
      </c>
      <c r="D20" s="43"/>
      <c r="E20" s="263"/>
      <c r="F20" s="263"/>
      <c r="G20" s="263"/>
      <c r="H20" s="263"/>
      <c r="I20" s="263"/>
      <c r="J20" s="263"/>
    </row>
    <row r="21" spans="2:12" x14ac:dyDescent="0.25">
      <c r="B21" s="49" t="s">
        <v>130</v>
      </c>
      <c r="C21" s="47" t="s">
        <v>170</v>
      </c>
      <c r="D21" s="72">
        <v>3376247</v>
      </c>
      <c r="E21" s="262"/>
      <c r="F21" s="265"/>
      <c r="G21" s="265"/>
      <c r="H21" s="265"/>
      <c r="I21" s="266"/>
      <c r="J21" s="266">
        <f>+D21</f>
        <v>3376247</v>
      </c>
    </row>
    <row r="22" spans="2:12" x14ac:dyDescent="0.25">
      <c r="B22" s="46">
        <v>2</v>
      </c>
      <c r="C22" s="47" t="s">
        <v>171</v>
      </c>
      <c r="D22" s="72">
        <v>768043</v>
      </c>
      <c r="E22" s="262"/>
      <c r="F22" s="265"/>
      <c r="G22" s="265"/>
      <c r="H22" s="265"/>
      <c r="I22" s="266"/>
      <c r="J22" s="266">
        <f t="shared" ref="J22:J26" si="0">+D22</f>
        <v>768043</v>
      </c>
    </row>
    <row r="23" spans="2:12" x14ac:dyDescent="0.25">
      <c r="B23" s="46">
        <v>3</v>
      </c>
      <c r="C23" s="47" t="s">
        <v>172</v>
      </c>
      <c r="D23" s="72">
        <v>45000</v>
      </c>
      <c r="E23" s="262"/>
      <c r="F23" s="265"/>
      <c r="G23" s="265"/>
      <c r="H23" s="265"/>
      <c r="I23" s="266"/>
      <c r="J23" s="266">
        <f t="shared" si="0"/>
        <v>45000</v>
      </c>
    </row>
    <row r="24" spans="2:12" x14ac:dyDescent="0.25">
      <c r="B24" s="46">
        <v>4</v>
      </c>
      <c r="C24" s="47" t="s">
        <v>173</v>
      </c>
      <c r="D24" s="72">
        <f>2387+149094+46+26764</f>
        <v>178291</v>
      </c>
      <c r="E24" s="262"/>
      <c r="F24" s="265"/>
      <c r="G24" s="265"/>
      <c r="H24" s="265"/>
      <c r="I24" s="266"/>
      <c r="J24" s="266">
        <f t="shared" si="0"/>
        <v>178291</v>
      </c>
    </row>
    <row r="25" spans="2:12" x14ac:dyDescent="0.25">
      <c r="B25" s="46">
        <v>5</v>
      </c>
      <c r="C25" s="47" t="s">
        <v>174</v>
      </c>
      <c r="D25" s="72">
        <v>84465</v>
      </c>
      <c r="E25" s="262"/>
      <c r="F25" s="265"/>
      <c r="G25" s="265"/>
      <c r="H25" s="265"/>
      <c r="I25" s="266"/>
      <c r="J25" s="266">
        <f t="shared" si="0"/>
        <v>84465</v>
      </c>
    </row>
    <row r="26" spans="2:12" x14ac:dyDescent="0.25">
      <c r="B26" s="46">
        <v>6</v>
      </c>
      <c r="C26" s="47" t="s">
        <v>175</v>
      </c>
      <c r="D26" s="72">
        <v>624439</v>
      </c>
      <c r="E26" s="262"/>
      <c r="F26" s="265"/>
      <c r="G26" s="265"/>
      <c r="H26" s="265"/>
      <c r="I26" s="266"/>
      <c r="J26" s="266">
        <f t="shared" si="0"/>
        <v>624439</v>
      </c>
      <c r="L26" s="17"/>
    </row>
    <row r="27" spans="2:12" s="26" customFormat="1" x14ac:dyDescent="0.25">
      <c r="B27" s="52" t="s">
        <v>127</v>
      </c>
      <c r="C27" s="51" t="s">
        <v>131</v>
      </c>
      <c r="D27" s="268">
        <f>SUM(D21:D26)</f>
        <v>5076485</v>
      </c>
      <c r="E27" s="57"/>
      <c r="F27" s="270"/>
      <c r="G27" s="270"/>
      <c r="H27" s="270"/>
      <c r="I27" s="271"/>
      <c r="J27" s="271">
        <f>+D27</f>
        <v>5076485</v>
      </c>
    </row>
    <row r="28" spans="2:12" x14ac:dyDescent="0.25">
      <c r="C28" s="547"/>
      <c r="D28" s="547"/>
    </row>
    <row r="29" spans="2:12" x14ac:dyDescent="0.25">
      <c r="C29" s="547"/>
      <c r="D29" s="547"/>
    </row>
    <row r="30" spans="2:12" x14ac:dyDescent="0.25">
      <c r="C30" s="548"/>
      <c r="D30" s="548"/>
    </row>
    <row r="31" spans="2:12" x14ac:dyDescent="0.25">
      <c r="C31" s="544"/>
      <c r="D31" s="544"/>
    </row>
    <row r="32" spans="2:12" x14ac:dyDescent="0.25">
      <c r="C32" s="549"/>
      <c r="D32" s="549"/>
    </row>
    <row r="33" spans="3:4" x14ac:dyDescent="0.25">
      <c r="C33" s="549"/>
      <c r="D33" s="549"/>
    </row>
    <row r="34" spans="3:4" x14ac:dyDescent="0.25">
      <c r="C34" s="543"/>
      <c r="D34" s="543"/>
    </row>
    <row r="35" spans="3:4" x14ac:dyDescent="0.25">
      <c r="C35" s="543"/>
      <c r="D35" s="543"/>
    </row>
    <row r="36" spans="3:4" x14ac:dyDescent="0.25">
      <c r="C36" s="542"/>
      <c r="D36" s="542"/>
    </row>
    <row r="37" spans="3:4" x14ac:dyDescent="0.25">
      <c r="C37" s="543"/>
      <c r="D37" s="543"/>
    </row>
    <row r="38" spans="3:4" x14ac:dyDescent="0.25">
      <c r="C38" s="542"/>
      <c r="D38" s="542"/>
    </row>
    <row r="39" spans="3:4" x14ac:dyDescent="0.25">
      <c r="C39" s="543"/>
      <c r="D39" s="543"/>
    </row>
    <row r="40" spans="3:4" x14ac:dyDescent="0.25">
      <c r="C40" s="542"/>
      <c r="D40" s="542"/>
    </row>
    <row r="41" spans="3:4" x14ac:dyDescent="0.25">
      <c r="C41" s="543"/>
      <c r="D41" s="543"/>
    </row>
    <row r="42" spans="3:4" x14ac:dyDescent="0.25">
      <c r="C42" s="542"/>
      <c r="D42" s="542"/>
    </row>
    <row r="43" spans="3:4" x14ac:dyDescent="0.25">
      <c r="C43" s="544"/>
      <c r="D43" s="544"/>
    </row>
    <row r="44" spans="3:4" x14ac:dyDescent="0.25">
      <c r="C44" s="542"/>
      <c r="D44" s="542"/>
    </row>
    <row r="45" spans="3:4" x14ac:dyDescent="0.25">
      <c r="C45" s="543"/>
      <c r="D45" s="543"/>
    </row>
    <row r="46" spans="3:4" x14ac:dyDescent="0.25">
      <c r="C46" s="543"/>
      <c r="D46" s="543"/>
    </row>
    <row r="47" spans="3:4" x14ac:dyDescent="0.25">
      <c r="C47" s="543"/>
      <c r="D47" s="543"/>
    </row>
    <row r="48" spans="3:4" x14ac:dyDescent="0.25">
      <c r="C48" s="542"/>
      <c r="D48" s="542"/>
    </row>
  </sheetData>
  <sheetProtection algorithmName="SHA-512" hashValue="PBARUEahj1kRbV3CVuYGKiWj/H8xNB91V3MAt7MiMSt0QhbLwlwzgniCnxVkQOBzR6+m/EsyzZTntglgSXfsDg==" saltValue="K+JyQS8YK3HohO9+8AMCOA==" spinCount="100000" sheet="1" objects="1" scenarios="1"/>
  <mergeCells count="24">
    <mergeCell ref="C36:D36"/>
    <mergeCell ref="D7:D8"/>
    <mergeCell ref="E7:E8"/>
    <mergeCell ref="F7:J7"/>
    <mergeCell ref="C28:D28"/>
    <mergeCell ref="C29:D29"/>
    <mergeCell ref="C30:D30"/>
    <mergeCell ref="C31:D31"/>
    <mergeCell ref="C32:D32"/>
    <mergeCell ref="C33:D33"/>
    <mergeCell ref="C34:D34"/>
    <mergeCell ref="C35:D35"/>
    <mergeCell ref="C48:D48"/>
    <mergeCell ref="C37:D37"/>
    <mergeCell ref="C38:D38"/>
    <mergeCell ref="C39:D39"/>
    <mergeCell ref="C40:D40"/>
    <mergeCell ref="C41:D41"/>
    <mergeCell ref="C42:D42"/>
    <mergeCell ref="C43:D43"/>
    <mergeCell ref="C44:D44"/>
    <mergeCell ref="C45:D45"/>
    <mergeCell ref="C46:D46"/>
    <mergeCell ref="C47:D47"/>
  </mergeCells>
  <pageMargins left="0.7" right="0.7" top="0.75" bottom="0.75" header="0.3" footer="0.3"/>
  <pageSetup paperSize="9" scale="64" orientation="landscape" r:id="rId1"/>
  <headerFooter>
    <oddHeader>&amp;CDA
Bilag V</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D856B-9178-4453-B43A-36A7CBC140E0}">
  <sheetPr>
    <tabColor theme="0" tint="-0.14999847407452621"/>
    <pageSetUpPr fitToPage="1"/>
  </sheetPr>
  <dimension ref="B2:H19"/>
  <sheetViews>
    <sheetView workbookViewId="0"/>
  </sheetViews>
  <sheetFormatPr defaultColWidth="9.140625" defaultRowHeight="15" x14ac:dyDescent="0.25"/>
  <cols>
    <col min="1" max="1" width="7.85546875" customWidth="1"/>
    <col min="2" max="2" width="8.5703125" style="39" customWidth="1"/>
    <col min="3" max="3" width="96.85546875" customWidth="1"/>
    <col min="4" max="8" width="15.7109375" customWidth="1"/>
    <col min="9" max="9" width="25.42578125" customWidth="1"/>
  </cols>
  <sheetData>
    <row r="2" spans="2:8" s="54" customFormat="1" ht="18.75" x14ac:dyDescent="0.3">
      <c r="B2" s="53"/>
      <c r="C2" s="40" t="s">
        <v>112</v>
      </c>
    </row>
    <row r="5" spans="2:8" x14ac:dyDescent="0.25">
      <c r="B5"/>
      <c r="D5" s="41" t="s">
        <v>2</v>
      </c>
      <c r="E5" s="41" t="s">
        <v>3</v>
      </c>
      <c r="F5" s="41" t="s">
        <v>4</v>
      </c>
      <c r="G5" s="41" t="s">
        <v>100</v>
      </c>
      <c r="H5" s="41" t="s">
        <v>99</v>
      </c>
    </row>
    <row r="6" spans="2:8" x14ac:dyDescent="0.25">
      <c r="B6"/>
      <c r="D6" s="545" t="s">
        <v>38</v>
      </c>
      <c r="E6" s="545" t="s">
        <v>132</v>
      </c>
      <c r="F6" s="545"/>
      <c r="G6" s="545"/>
      <c r="H6" s="545"/>
    </row>
    <row r="7" spans="2:8" ht="30" x14ac:dyDescent="0.25">
      <c r="B7"/>
      <c r="D7" s="545"/>
      <c r="E7" s="41" t="s">
        <v>655</v>
      </c>
      <c r="F7" s="41" t="s">
        <v>656</v>
      </c>
      <c r="G7" s="55" t="s">
        <v>657</v>
      </c>
      <c r="H7" s="41" t="s">
        <v>658</v>
      </c>
    </row>
    <row r="8" spans="2:8" x14ac:dyDescent="0.25">
      <c r="B8" s="56">
        <v>1</v>
      </c>
      <c r="C8" s="57" t="s">
        <v>133</v>
      </c>
      <c r="D8" s="272">
        <f>+'Skema EU LI1 '!D18</f>
        <v>5076485</v>
      </c>
      <c r="E8" s="272">
        <f>+'Skema EU LI1 '!F18</f>
        <v>2839271</v>
      </c>
      <c r="F8" s="273"/>
      <c r="G8" s="272">
        <f>+'Skema EU LI1 '!G18</f>
        <v>1053</v>
      </c>
      <c r="H8" s="272">
        <f>+'Skema EU LI1 '!I18</f>
        <v>1358998</v>
      </c>
    </row>
    <row r="9" spans="2:8" x14ac:dyDescent="0.25">
      <c r="B9" s="56">
        <v>2</v>
      </c>
      <c r="C9" s="57" t="s">
        <v>134</v>
      </c>
      <c r="D9" s="272">
        <f>+'Skema EU LI1 '!D27</f>
        <v>5076485</v>
      </c>
      <c r="E9" s="272"/>
      <c r="F9" s="273"/>
      <c r="G9" s="272"/>
      <c r="H9" s="272"/>
    </row>
    <row r="10" spans="2:8" x14ac:dyDescent="0.25">
      <c r="B10" s="56">
        <v>3</v>
      </c>
      <c r="C10" s="57" t="s">
        <v>135</v>
      </c>
      <c r="D10" s="272">
        <f>+D8-D9</f>
        <v>0</v>
      </c>
      <c r="E10" s="272">
        <f t="shared" ref="E10:H10" si="0">+E8-E9</f>
        <v>2839271</v>
      </c>
      <c r="F10" s="272">
        <f t="shared" si="0"/>
        <v>0</v>
      </c>
      <c r="G10" s="272">
        <f t="shared" si="0"/>
        <v>1053</v>
      </c>
      <c r="H10" s="272">
        <f t="shared" si="0"/>
        <v>1358998</v>
      </c>
    </row>
    <row r="11" spans="2:8" x14ac:dyDescent="0.25">
      <c r="B11" s="56">
        <v>4</v>
      </c>
      <c r="C11" s="51" t="s">
        <v>136</v>
      </c>
      <c r="D11" s="272">
        <f>832116+606490-9002</f>
        <v>1429604</v>
      </c>
      <c r="E11" s="272">
        <f>+D11</f>
        <v>1429604</v>
      </c>
      <c r="F11" s="273"/>
      <c r="G11" s="272"/>
      <c r="H11" s="274"/>
    </row>
    <row r="12" spans="2:8" x14ac:dyDescent="0.25">
      <c r="B12" s="41">
        <v>5</v>
      </c>
      <c r="C12" s="59" t="s">
        <v>137</v>
      </c>
      <c r="D12" s="272"/>
      <c r="E12" s="272"/>
      <c r="F12" s="273"/>
      <c r="G12" s="272"/>
      <c r="H12" s="274"/>
    </row>
    <row r="13" spans="2:8" x14ac:dyDescent="0.25">
      <c r="B13" s="41">
        <v>6</v>
      </c>
      <c r="C13" s="59" t="s">
        <v>138</v>
      </c>
      <c r="D13" s="272"/>
      <c r="E13" s="272"/>
      <c r="F13" s="273"/>
      <c r="G13" s="272"/>
      <c r="H13" s="274"/>
    </row>
    <row r="14" spans="2:8" x14ac:dyDescent="0.25">
      <c r="B14" s="41">
        <v>7</v>
      </c>
      <c r="C14" s="59" t="s">
        <v>139</v>
      </c>
      <c r="D14" s="272"/>
      <c r="E14" s="272"/>
      <c r="F14" s="273"/>
      <c r="G14" s="272"/>
      <c r="H14" s="274"/>
    </row>
    <row r="15" spans="2:8" x14ac:dyDescent="0.25">
      <c r="B15" s="41">
        <v>8</v>
      </c>
      <c r="C15" s="59" t="s">
        <v>140</v>
      </c>
      <c r="D15" s="272"/>
      <c r="E15" s="272"/>
      <c r="F15" s="273"/>
      <c r="G15" s="272"/>
      <c r="H15" s="274"/>
    </row>
    <row r="16" spans="2:8" x14ac:dyDescent="0.25">
      <c r="B16" s="41">
        <v>9</v>
      </c>
      <c r="C16" s="59" t="s">
        <v>141</v>
      </c>
      <c r="D16" s="272"/>
      <c r="E16" s="272"/>
      <c r="F16" s="273"/>
      <c r="G16" s="272"/>
      <c r="H16" s="274"/>
    </row>
    <row r="17" spans="2:8" x14ac:dyDescent="0.25">
      <c r="B17" s="41">
        <v>10</v>
      </c>
      <c r="C17" s="59" t="s">
        <v>142</v>
      </c>
      <c r="D17" s="272"/>
      <c r="E17" s="272"/>
      <c r="F17" s="273"/>
      <c r="G17" s="272"/>
      <c r="H17" s="274"/>
    </row>
    <row r="18" spans="2:8" x14ac:dyDescent="0.25">
      <c r="B18" s="41">
        <v>11</v>
      </c>
      <c r="C18" s="59" t="s">
        <v>143</v>
      </c>
      <c r="D18" s="272"/>
      <c r="E18" s="272"/>
      <c r="F18" s="273"/>
      <c r="G18" s="272"/>
      <c r="H18" s="274"/>
    </row>
    <row r="19" spans="2:8" x14ac:dyDescent="0.25">
      <c r="B19" s="56">
        <v>12</v>
      </c>
      <c r="C19" s="51" t="s">
        <v>144</v>
      </c>
      <c r="D19" s="272">
        <f>SUM(D11:D18)</f>
        <v>1429604</v>
      </c>
      <c r="E19" s="272">
        <f t="shared" ref="E19:H19" si="1">SUM(E11:E18)</f>
        <v>1429604</v>
      </c>
      <c r="F19" s="272">
        <f t="shared" si="1"/>
        <v>0</v>
      </c>
      <c r="G19" s="272">
        <f t="shared" si="1"/>
        <v>0</v>
      </c>
      <c r="H19" s="272">
        <f t="shared" si="1"/>
        <v>0</v>
      </c>
    </row>
  </sheetData>
  <sheetProtection algorithmName="SHA-512" hashValue="iwDq1wTvyM+10eSWIOGouKiOO4T11R6OoLtFKPJKgMk4rhRDnRUVdGR8as2KITxZH9nyrYS6KgIDABNnYy/8Ng==" saltValue="IViYMDeVjq4TXZ1R7fx1Bw==" spinCount="100000" sheet="1" objects="1" scenarios="1"/>
  <mergeCells count="2">
    <mergeCell ref="D6:D7"/>
    <mergeCell ref="E6:H6"/>
  </mergeCells>
  <pageMargins left="0.70866141732283472" right="0.70866141732283472" top="0.74803149606299213" bottom="0.74803149606299213" header="0.31496062992125984" footer="0.31496062992125984"/>
  <pageSetup paperSize="9" scale="68" orientation="landscape" r:id="rId1"/>
  <headerFooter>
    <oddHeader>&amp;CDA
Bilag V</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A4686-3FB7-4FBD-9269-9B99A360FF43}">
  <sheetPr>
    <tabColor theme="0" tint="-0.14999847407452621"/>
    <pageSetUpPr fitToPage="1"/>
  </sheetPr>
  <dimension ref="B3:I12"/>
  <sheetViews>
    <sheetView workbookViewId="0"/>
  </sheetViews>
  <sheetFormatPr defaultColWidth="9.140625" defaultRowHeight="15" x14ac:dyDescent="0.25"/>
  <cols>
    <col min="2" max="2" width="20.7109375" customWidth="1"/>
    <col min="3" max="3" width="18.140625" customWidth="1"/>
    <col min="4" max="8" width="14.7109375" customWidth="1"/>
    <col min="9" max="9" width="26.42578125" customWidth="1"/>
  </cols>
  <sheetData>
    <row r="3" spans="2:9" s="54" customFormat="1" ht="18.75" x14ac:dyDescent="0.3">
      <c r="B3" s="40" t="s">
        <v>113</v>
      </c>
    </row>
    <row r="6" spans="2:9" x14ac:dyDescent="0.25">
      <c r="B6" s="21" t="s">
        <v>2</v>
      </c>
      <c r="C6" s="46" t="s">
        <v>3</v>
      </c>
      <c r="D6" s="21" t="s">
        <v>4</v>
      </c>
      <c r="E6" s="21" t="s">
        <v>100</v>
      </c>
      <c r="F6" s="21" t="s">
        <v>99</v>
      </c>
      <c r="G6" s="21" t="s">
        <v>115</v>
      </c>
      <c r="H6" s="21" t="s">
        <v>116</v>
      </c>
      <c r="I6" s="46" t="s">
        <v>145</v>
      </c>
    </row>
    <row r="7" spans="2:9" x14ac:dyDescent="0.25">
      <c r="B7" s="550" t="s">
        <v>146</v>
      </c>
      <c r="C7" s="546" t="s">
        <v>147</v>
      </c>
      <c r="D7" s="551" t="s">
        <v>148</v>
      </c>
      <c r="E7" s="552"/>
      <c r="F7" s="552"/>
      <c r="G7" s="552"/>
      <c r="H7" s="553"/>
      <c r="I7" s="58" t="s">
        <v>149</v>
      </c>
    </row>
    <row r="8" spans="2:9" ht="45" x14ac:dyDescent="0.25">
      <c r="B8" s="550"/>
      <c r="C8" s="546"/>
      <c r="D8" s="21" t="s">
        <v>150</v>
      </c>
      <c r="E8" s="21" t="s">
        <v>151</v>
      </c>
      <c r="F8" s="21" t="s">
        <v>152</v>
      </c>
      <c r="G8" s="21" t="s">
        <v>153</v>
      </c>
      <c r="H8" s="21" t="s">
        <v>154</v>
      </c>
      <c r="I8" s="60"/>
    </row>
    <row r="9" spans="2:9" ht="20.100000000000001" customHeight="1" x14ac:dyDescent="0.25">
      <c r="B9" s="61" t="s">
        <v>176</v>
      </c>
      <c r="C9" s="61" t="s">
        <v>150</v>
      </c>
      <c r="D9" s="62" t="s">
        <v>155</v>
      </c>
      <c r="E9" s="63"/>
      <c r="F9" s="63"/>
      <c r="G9" s="63"/>
      <c r="H9" s="63"/>
      <c r="I9" s="61" t="s">
        <v>177</v>
      </c>
    </row>
    <row r="10" spans="2:9" ht="20.100000000000001" customHeight="1" x14ac:dyDescent="0.25">
      <c r="B10" s="61"/>
      <c r="C10" s="61"/>
      <c r="D10" s="63"/>
      <c r="E10" s="62"/>
      <c r="F10" s="63"/>
      <c r="G10" s="63"/>
      <c r="H10" s="63"/>
      <c r="I10" s="61"/>
    </row>
    <row r="11" spans="2:9" ht="20.100000000000001" customHeight="1" x14ac:dyDescent="0.25">
      <c r="B11" s="61"/>
      <c r="C11" s="61"/>
      <c r="D11" s="63"/>
      <c r="E11" s="63"/>
      <c r="F11" s="63"/>
      <c r="G11" s="62"/>
      <c r="H11" s="62"/>
      <c r="I11" s="61"/>
    </row>
    <row r="12" spans="2:9" ht="20.100000000000001" customHeight="1" x14ac:dyDescent="0.25">
      <c r="B12" s="61"/>
      <c r="C12" s="61"/>
      <c r="D12" s="63"/>
      <c r="E12" s="63"/>
      <c r="F12" s="62"/>
      <c r="G12" s="63"/>
      <c r="H12" s="63"/>
      <c r="I12" s="61"/>
    </row>
  </sheetData>
  <sheetProtection algorithmName="SHA-512" hashValue="fgMVOdfez2oA+vES4wCPN5lwz3onWwO7qB83RgFcYJ0Vfl5y+MK5gm1ZPBrtt/81iW7H80/aKUwG4YHyjvT/8A==" saltValue="k23pu5U1PFtq7QXXU6OrGQ==" spinCount="100000" sheet="1" objects="1" scenarios="1"/>
  <mergeCells count="3">
    <mergeCell ref="B7:B8"/>
    <mergeCell ref="C7:C8"/>
    <mergeCell ref="D7:H7"/>
  </mergeCells>
  <pageMargins left="0.70866141732283472" right="0.70866141732283472" top="0.74803149606299213" bottom="0.74803149606299213" header="0.31496062992125984" footer="0.31496062992125984"/>
  <pageSetup paperSize="9" scale="88" orientation="landscape" r:id="rId1"/>
  <headerFooter>
    <oddHeader>&amp;CDA
Bilag 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F8DFE-A869-4B38-91E7-93CA5A546CB4}">
  <sheetPr>
    <tabColor theme="0" tint="-0.14999847407452621"/>
    <pageSetUpPr fitToPage="1"/>
  </sheetPr>
  <dimension ref="A3:I133"/>
  <sheetViews>
    <sheetView workbookViewId="0">
      <selection activeCell="G8" sqref="G8"/>
    </sheetView>
  </sheetViews>
  <sheetFormatPr defaultColWidth="9" defaultRowHeight="15" x14ac:dyDescent="0.25"/>
  <cols>
    <col min="1" max="1" width="6.28515625" customWidth="1"/>
    <col min="3" max="3" width="57.7109375" customWidth="1"/>
    <col min="4" max="4" width="20.42578125" customWidth="1"/>
    <col min="5" max="5" width="57" hidden="1" customWidth="1"/>
  </cols>
  <sheetData>
    <row r="3" spans="2:9" ht="18.75" x14ac:dyDescent="0.3">
      <c r="B3" s="73" t="s">
        <v>178</v>
      </c>
    </row>
    <row r="4" spans="2:9" ht="18.75" x14ac:dyDescent="0.3">
      <c r="B4" s="73"/>
    </row>
    <row r="5" spans="2:9" ht="18.75" x14ac:dyDescent="0.3">
      <c r="B5" s="73"/>
    </row>
    <row r="6" spans="2:9" x14ac:dyDescent="0.25">
      <c r="D6" s="9" t="s">
        <v>180</v>
      </c>
      <c r="E6" s="9" t="s">
        <v>181</v>
      </c>
    </row>
    <row r="7" spans="2:9" ht="30" x14ac:dyDescent="0.25">
      <c r="D7" s="9" t="s">
        <v>182</v>
      </c>
      <c r="E7" s="9" t="s">
        <v>183</v>
      </c>
    </row>
    <row r="8" spans="2:9" x14ac:dyDescent="0.25">
      <c r="B8" s="569" t="s">
        <v>184</v>
      </c>
      <c r="C8" s="570"/>
      <c r="D8" s="570"/>
      <c r="E8" s="571"/>
    </row>
    <row r="9" spans="2:9" x14ac:dyDescent="0.25">
      <c r="B9" s="74">
        <v>1</v>
      </c>
      <c r="C9" s="75" t="s">
        <v>185</v>
      </c>
      <c r="D9" s="275">
        <v>32857</v>
      </c>
      <c r="E9" s="90" t="s">
        <v>186</v>
      </c>
    </row>
    <row r="10" spans="2:9" x14ac:dyDescent="0.25">
      <c r="B10" s="74"/>
      <c r="C10" s="75" t="s">
        <v>187</v>
      </c>
      <c r="D10" s="275"/>
      <c r="E10" s="91"/>
    </row>
    <row r="11" spans="2:9" x14ac:dyDescent="0.25">
      <c r="B11" s="74"/>
      <c r="C11" s="75" t="s">
        <v>188</v>
      </c>
      <c r="D11" s="275"/>
      <c r="E11" s="91"/>
    </row>
    <row r="12" spans="2:9" x14ac:dyDescent="0.25">
      <c r="B12" s="74"/>
      <c r="C12" s="75" t="s">
        <v>189</v>
      </c>
      <c r="D12" s="275"/>
      <c r="E12" s="91"/>
    </row>
    <row r="13" spans="2:9" x14ac:dyDescent="0.25">
      <c r="B13" s="74">
        <v>2</v>
      </c>
      <c r="C13" s="75" t="s">
        <v>190</v>
      </c>
      <c r="D13" s="275">
        <f>520367-4006+22174</f>
        <v>538535</v>
      </c>
      <c r="E13" s="91"/>
    </row>
    <row r="14" spans="2:9" x14ac:dyDescent="0.25">
      <c r="B14" s="74">
        <v>3</v>
      </c>
      <c r="C14" s="75" t="s">
        <v>191</v>
      </c>
      <c r="D14" s="275">
        <f>-1099+141</f>
        <v>-958</v>
      </c>
      <c r="E14" s="91"/>
      <c r="I14" s="65"/>
    </row>
    <row r="15" spans="2:9" x14ac:dyDescent="0.25">
      <c r="B15" s="74" t="s">
        <v>192</v>
      </c>
      <c r="C15" s="75" t="s">
        <v>193</v>
      </c>
      <c r="D15" s="275"/>
      <c r="E15" s="91"/>
    </row>
    <row r="16" spans="2:9" ht="36" x14ac:dyDescent="0.25">
      <c r="B16" s="74">
        <v>4</v>
      </c>
      <c r="C16" s="75" t="s">
        <v>194</v>
      </c>
      <c r="D16" s="275"/>
      <c r="E16" s="91"/>
    </row>
    <row r="17" spans="2:5" ht="24" x14ac:dyDescent="0.25">
      <c r="B17" s="74">
        <v>5</v>
      </c>
      <c r="C17" s="75" t="s">
        <v>195</v>
      </c>
      <c r="D17" s="275"/>
      <c r="E17" s="91"/>
    </row>
    <row r="18" spans="2:5" ht="24" x14ac:dyDescent="0.25">
      <c r="B18" s="74" t="s">
        <v>196</v>
      </c>
      <c r="C18" s="75" t="s">
        <v>197</v>
      </c>
      <c r="D18" s="275"/>
      <c r="E18" s="91"/>
    </row>
    <row r="19" spans="2:5" x14ac:dyDescent="0.25">
      <c r="B19" s="78">
        <v>6</v>
      </c>
      <c r="C19" s="79" t="s">
        <v>198</v>
      </c>
      <c r="D19" s="276">
        <f>SUM(D9:D18)</f>
        <v>570434</v>
      </c>
      <c r="E19" s="92"/>
    </row>
    <row r="20" spans="2:5" x14ac:dyDescent="0.25">
      <c r="B20" s="554" t="s">
        <v>199</v>
      </c>
      <c r="C20" s="555"/>
      <c r="D20" s="555"/>
      <c r="E20" s="556"/>
    </row>
    <row r="21" spans="2:5" x14ac:dyDescent="0.25">
      <c r="B21" s="74">
        <v>7</v>
      </c>
      <c r="C21" s="81" t="s">
        <v>200</v>
      </c>
      <c r="D21" s="275">
        <v>-1521</v>
      </c>
      <c r="E21" s="91"/>
    </row>
    <row r="22" spans="2:5" ht="24" x14ac:dyDescent="0.25">
      <c r="B22" s="74">
        <v>8</v>
      </c>
      <c r="C22" s="81" t="s">
        <v>201</v>
      </c>
      <c r="D22" s="275">
        <v>-238</v>
      </c>
      <c r="E22" s="90" t="s">
        <v>202</v>
      </c>
    </row>
    <row r="23" spans="2:5" x14ac:dyDescent="0.25">
      <c r="B23" s="74">
        <v>9</v>
      </c>
      <c r="C23" s="81" t="s">
        <v>19</v>
      </c>
      <c r="D23" s="275"/>
      <c r="E23" s="91"/>
    </row>
    <row r="24" spans="2:5" ht="48" x14ac:dyDescent="0.25">
      <c r="B24" s="74">
        <v>10</v>
      </c>
      <c r="C24" s="81" t="s">
        <v>203</v>
      </c>
      <c r="D24" s="275"/>
      <c r="E24" s="91"/>
    </row>
    <row r="25" spans="2:5" ht="36" x14ac:dyDescent="0.25">
      <c r="B25" s="74">
        <v>11</v>
      </c>
      <c r="C25" s="81" t="s">
        <v>204</v>
      </c>
      <c r="D25" s="275"/>
      <c r="E25" s="91"/>
    </row>
    <row r="26" spans="2:5" x14ac:dyDescent="0.25">
      <c r="B26" s="74">
        <v>12</v>
      </c>
      <c r="C26" s="81" t="s">
        <v>205</v>
      </c>
      <c r="D26" s="275"/>
      <c r="E26" s="91"/>
    </row>
    <row r="27" spans="2:5" ht="24" x14ac:dyDescent="0.25">
      <c r="B27" s="74">
        <v>13</v>
      </c>
      <c r="C27" s="81" t="s">
        <v>206</v>
      </c>
      <c r="D27" s="275"/>
      <c r="E27" s="91"/>
    </row>
    <row r="28" spans="2:5" ht="24" x14ac:dyDescent="0.25">
      <c r="B28" s="74">
        <v>14</v>
      </c>
      <c r="C28" s="81" t="s">
        <v>207</v>
      </c>
      <c r="D28" s="275"/>
      <c r="E28" s="91"/>
    </row>
    <row r="29" spans="2:5" x14ac:dyDescent="0.25">
      <c r="B29" s="74">
        <v>15</v>
      </c>
      <c r="C29" s="81" t="s">
        <v>208</v>
      </c>
      <c r="D29" s="275"/>
      <c r="E29" s="91"/>
    </row>
    <row r="30" spans="2:5" ht="24" x14ac:dyDescent="0.25">
      <c r="B30" s="74">
        <v>16</v>
      </c>
      <c r="C30" s="81" t="s">
        <v>209</v>
      </c>
      <c r="D30" s="275"/>
      <c r="E30" s="91"/>
    </row>
    <row r="31" spans="2:5" ht="60" x14ac:dyDescent="0.25">
      <c r="B31" s="74">
        <v>17</v>
      </c>
      <c r="C31" s="81" t="s">
        <v>210</v>
      </c>
      <c r="D31" s="275"/>
      <c r="E31" s="91"/>
    </row>
    <row r="32" spans="2:5" ht="60" x14ac:dyDescent="0.25">
      <c r="B32" s="74">
        <v>18</v>
      </c>
      <c r="C32" s="81" t="s">
        <v>211</v>
      </c>
      <c r="D32" s="275">
        <v>-102882</v>
      </c>
      <c r="E32" s="91"/>
    </row>
    <row r="33" spans="2:6" ht="60" x14ac:dyDescent="0.25">
      <c r="B33" s="74">
        <v>19</v>
      </c>
      <c r="C33" s="81" t="s">
        <v>212</v>
      </c>
      <c r="D33" s="275"/>
      <c r="E33" s="91"/>
    </row>
    <row r="34" spans="2:6" x14ac:dyDescent="0.25">
      <c r="B34" s="74">
        <v>20</v>
      </c>
      <c r="C34" s="81" t="s">
        <v>19</v>
      </c>
      <c r="D34" s="275"/>
      <c r="E34" s="91"/>
    </row>
    <row r="35" spans="2:6" ht="36" x14ac:dyDescent="0.25">
      <c r="B35" s="74" t="s">
        <v>213</v>
      </c>
      <c r="C35" s="81" t="s">
        <v>214</v>
      </c>
      <c r="D35" s="275"/>
      <c r="E35" s="91"/>
    </row>
    <row r="36" spans="2:6" ht="24" x14ac:dyDescent="0.25">
      <c r="B36" s="74" t="s">
        <v>215</v>
      </c>
      <c r="C36" s="81" t="s">
        <v>216</v>
      </c>
      <c r="D36" s="275"/>
      <c r="E36" s="91"/>
    </row>
    <row r="37" spans="2:6" x14ac:dyDescent="0.25">
      <c r="B37" s="74" t="s">
        <v>217</v>
      </c>
      <c r="C37" s="77" t="s">
        <v>218</v>
      </c>
      <c r="D37" s="275"/>
      <c r="E37" s="91"/>
    </row>
    <row r="38" spans="2:6" x14ac:dyDescent="0.25">
      <c r="B38" s="74" t="s">
        <v>219</v>
      </c>
      <c r="C38" s="81" t="s">
        <v>220</v>
      </c>
      <c r="D38" s="275"/>
      <c r="E38" s="91"/>
    </row>
    <row r="39" spans="2:6" ht="36" x14ac:dyDescent="0.25">
      <c r="B39" s="74">
        <v>21</v>
      </c>
      <c r="C39" s="81" t="s">
        <v>221</v>
      </c>
      <c r="D39" s="275"/>
      <c r="E39" s="91"/>
    </row>
    <row r="40" spans="2:6" x14ac:dyDescent="0.25">
      <c r="B40" s="74">
        <v>22</v>
      </c>
      <c r="C40" s="81" t="s">
        <v>222</v>
      </c>
      <c r="D40" s="275"/>
      <c r="E40" s="91"/>
    </row>
    <row r="41" spans="2:6" ht="36" x14ac:dyDescent="0.25">
      <c r="B41" s="74">
        <v>23</v>
      </c>
      <c r="C41" s="81" t="s">
        <v>223</v>
      </c>
      <c r="D41" s="275"/>
      <c r="E41" s="91"/>
    </row>
    <row r="42" spans="2:6" x14ac:dyDescent="0.25">
      <c r="B42" s="74">
        <v>24</v>
      </c>
      <c r="C42" s="81" t="s">
        <v>19</v>
      </c>
      <c r="D42" s="275"/>
      <c r="E42" s="91"/>
    </row>
    <row r="43" spans="2:6" x14ac:dyDescent="0.25">
      <c r="B43" s="74">
        <v>25</v>
      </c>
      <c r="C43" s="81" t="s">
        <v>224</v>
      </c>
      <c r="D43" s="275"/>
      <c r="E43" s="91"/>
    </row>
    <row r="44" spans="2:6" x14ac:dyDescent="0.25">
      <c r="B44" s="74" t="s">
        <v>225</v>
      </c>
      <c r="C44" s="81" t="s">
        <v>226</v>
      </c>
      <c r="D44" s="275"/>
      <c r="E44" s="91"/>
    </row>
    <row r="45" spans="2:6" ht="48" x14ac:dyDescent="0.25">
      <c r="B45" s="74" t="s">
        <v>227</v>
      </c>
      <c r="C45" s="81" t="s">
        <v>228</v>
      </c>
      <c r="D45" s="275"/>
      <c r="E45" s="91"/>
    </row>
    <row r="46" spans="2:6" x14ac:dyDescent="0.25">
      <c r="B46" s="74">
        <v>26</v>
      </c>
      <c r="C46" s="81" t="s">
        <v>19</v>
      </c>
      <c r="D46" s="275"/>
      <c r="E46" s="91"/>
    </row>
    <row r="47" spans="2:6" ht="24" x14ac:dyDescent="0.25">
      <c r="B47" s="74">
        <v>27</v>
      </c>
      <c r="C47" s="81" t="s">
        <v>229</v>
      </c>
      <c r="D47" s="275"/>
      <c r="E47" s="91"/>
      <c r="F47" s="82"/>
    </row>
    <row r="48" spans="2:6" x14ac:dyDescent="0.25">
      <c r="B48" s="74" t="s">
        <v>230</v>
      </c>
      <c r="C48" s="81" t="s">
        <v>231</v>
      </c>
      <c r="D48" s="275">
        <v>-7578</v>
      </c>
      <c r="E48" s="91"/>
      <c r="F48" s="82"/>
    </row>
    <row r="49" spans="2:5" x14ac:dyDescent="0.25">
      <c r="B49" s="74">
        <v>28</v>
      </c>
      <c r="C49" s="83" t="s">
        <v>232</v>
      </c>
      <c r="D49" s="276">
        <f>SUM(D21:D48)</f>
        <v>-112219</v>
      </c>
      <c r="E49" s="91"/>
    </row>
    <row r="50" spans="2:5" x14ac:dyDescent="0.25">
      <c r="B50" s="74">
        <v>29</v>
      </c>
      <c r="C50" s="83" t="s">
        <v>233</v>
      </c>
      <c r="D50" s="276">
        <f>+D19+D49</f>
        <v>458215</v>
      </c>
      <c r="E50" s="91"/>
    </row>
    <row r="51" spans="2:5" x14ac:dyDescent="0.25">
      <c r="B51" s="554" t="s">
        <v>234</v>
      </c>
      <c r="C51" s="555"/>
      <c r="D51" s="555"/>
      <c r="E51" s="556"/>
    </row>
    <row r="52" spans="2:5" x14ac:dyDescent="0.25">
      <c r="B52" s="74">
        <v>30</v>
      </c>
      <c r="C52" s="81" t="s">
        <v>235</v>
      </c>
      <c r="D52" s="275">
        <v>50000</v>
      </c>
      <c r="E52" s="90" t="s">
        <v>236</v>
      </c>
    </row>
    <row r="53" spans="2:5" ht="24" x14ac:dyDescent="0.25">
      <c r="B53" s="74">
        <v>31</v>
      </c>
      <c r="C53" s="81" t="s">
        <v>237</v>
      </c>
      <c r="D53" s="275">
        <v>50000</v>
      </c>
      <c r="E53" s="91"/>
    </row>
    <row r="54" spans="2:5" ht="24" x14ac:dyDescent="0.25">
      <c r="B54" s="74">
        <v>32</v>
      </c>
      <c r="C54" s="81" t="s">
        <v>238</v>
      </c>
      <c r="D54" s="275"/>
      <c r="E54" s="91"/>
    </row>
    <row r="55" spans="2:5" ht="36" x14ac:dyDescent="0.25">
      <c r="B55" s="74">
        <v>33</v>
      </c>
      <c r="C55" s="81" t="s">
        <v>239</v>
      </c>
      <c r="D55" s="275"/>
      <c r="E55" s="91"/>
    </row>
    <row r="56" spans="2:5" s="17" customFormat="1" ht="24" x14ac:dyDescent="0.25">
      <c r="B56" s="74" t="s">
        <v>240</v>
      </c>
      <c r="C56" s="81" t="s">
        <v>241</v>
      </c>
      <c r="D56" s="275"/>
      <c r="E56" s="91"/>
    </row>
    <row r="57" spans="2:5" s="17" customFormat="1" ht="24" x14ac:dyDescent="0.25">
      <c r="B57" s="74" t="s">
        <v>242</v>
      </c>
      <c r="C57" s="81" t="s">
        <v>243</v>
      </c>
      <c r="D57" s="275"/>
      <c r="E57" s="91"/>
    </row>
    <row r="58" spans="2:5" ht="48" x14ac:dyDescent="0.25">
      <c r="B58" s="74">
        <v>34</v>
      </c>
      <c r="C58" s="81" t="s">
        <v>244</v>
      </c>
      <c r="D58" s="275"/>
      <c r="E58" s="91"/>
    </row>
    <row r="59" spans="2:5" ht="24" x14ac:dyDescent="0.25">
      <c r="B59" s="74">
        <v>35</v>
      </c>
      <c r="C59" s="81" t="s">
        <v>245</v>
      </c>
      <c r="D59" s="275"/>
      <c r="E59" s="91"/>
    </row>
    <row r="60" spans="2:5" x14ac:dyDescent="0.25">
      <c r="B60" s="78">
        <v>36</v>
      </c>
      <c r="C60" s="83" t="s">
        <v>246</v>
      </c>
      <c r="D60" s="276">
        <v>50000</v>
      </c>
      <c r="E60" s="91"/>
    </row>
    <row r="61" spans="2:5" x14ac:dyDescent="0.25">
      <c r="B61" s="554" t="s">
        <v>247</v>
      </c>
      <c r="C61" s="555"/>
      <c r="D61" s="555"/>
      <c r="E61" s="556"/>
    </row>
    <row r="62" spans="2:5" ht="24" x14ac:dyDescent="0.25">
      <c r="B62" s="74">
        <v>37</v>
      </c>
      <c r="C62" s="81" t="s">
        <v>248</v>
      </c>
      <c r="D62" s="275"/>
      <c r="E62" s="91"/>
    </row>
    <row r="63" spans="2:5" ht="60" x14ac:dyDescent="0.25">
      <c r="B63" s="74">
        <v>38</v>
      </c>
      <c r="C63" s="81" t="s">
        <v>249</v>
      </c>
      <c r="D63" s="275"/>
      <c r="E63" s="91"/>
    </row>
    <row r="64" spans="2:5" ht="60" x14ac:dyDescent="0.25">
      <c r="B64" s="74">
        <v>39</v>
      </c>
      <c r="C64" s="81" t="s">
        <v>250</v>
      </c>
      <c r="D64" s="275"/>
      <c r="E64" s="91"/>
    </row>
    <row r="65" spans="1:5" ht="48" x14ac:dyDescent="0.25">
      <c r="B65" s="74">
        <v>40</v>
      </c>
      <c r="C65" s="81" t="s">
        <v>251</v>
      </c>
      <c r="D65" s="275"/>
      <c r="E65" s="91"/>
    </row>
    <row r="66" spans="1:5" x14ac:dyDescent="0.25">
      <c r="B66" s="74">
        <v>41</v>
      </c>
      <c r="C66" s="81" t="s">
        <v>19</v>
      </c>
      <c r="D66" s="275"/>
      <c r="E66" s="91"/>
    </row>
    <row r="67" spans="1:5" ht="24" x14ac:dyDescent="0.25">
      <c r="B67" s="74">
        <v>42</v>
      </c>
      <c r="C67" s="81" t="s">
        <v>252</v>
      </c>
      <c r="D67" s="275"/>
      <c r="E67" s="91"/>
    </row>
    <row r="68" spans="1:5" x14ac:dyDescent="0.25">
      <c r="B68" s="74" t="s">
        <v>253</v>
      </c>
      <c r="C68" s="81" t="s">
        <v>254</v>
      </c>
      <c r="D68" s="275"/>
      <c r="E68" s="91"/>
    </row>
    <row r="69" spans="1:5" x14ac:dyDescent="0.25">
      <c r="B69" s="78">
        <v>43</v>
      </c>
      <c r="C69" s="83" t="s">
        <v>255</v>
      </c>
      <c r="D69" s="276">
        <v>0</v>
      </c>
      <c r="E69" s="91"/>
    </row>
    <row r="70" spans="1:5" x14ac:dyDescent="0.25">
      <c r="B70" s="78">
        <v>44</v>
      </c>
      <c r="C70" s="83" t="s">
        <v>256</v>
      </c>
      <c r="D70" s="276">
        <f>+D60-D69</f>
        <v>50000</v>
      </c>
      <c r="E70" s="91"/>
    </row>
    <row r="71" spans="1:5" ht="26.25" customHeight="1" x14ac:dyDescent="0.25">
      <c r="B71" s="78">
        <v>45</v>
      </c>
      <c r="C71" s="83" t="s">
        <v>257</v>
      </c>
      <c r="D71" s="276">
        <f>+D50+D70</f>
        <v>508215</v>
      </c>
      <c r="E71" s="91"/>
    </row>
    <row r="72" spans="1:5" x14ac:dyDescent="0.25">
      <c r="B72" s="554" t="s">
        <v>258</v>
      </c>
      <c r="C72" s="555"/>
      <c r="D72" s="555"/>
      <c r="E72" s="556"/>
    </row>
    <row r="73" spans="1:5" x14ac:dyDescent="0.25">
      <c r="B73" s="74">
        <v>46</v>
      </c>
      <c r="C73" s="81" t="s">
        <v>235</v>
      </c>
      <c r="D73" s="275">
        <v>84465</v>
      </c>
      <c r="E73" s="91"/>
    </row>
    <row r="74" spans="1:5" ht="36" x14ac:dyDescent="0.25">
      <c r="B74" s="74">
        <v>47</v>
      </c>
      <c r="C74" s="81" t="s">
        <v>259</v>
      </c>
      <c r="D74" s="275"/>
      <c r="E74" s="91"/>
    </row>
    <row r="75" spans="1:5" s="17" customFormat="1" ht="24" x14ac:dyDescent="0.25">
      <c r="A75" s="2"/>
      <c r="B75" s="74" t="s">
        <v>260</v>
      </c>
      <c r="C75" s="81" t="s">
        <v>261</v>
      </c>
      <c r="D75" s="275"/>
      <c r="E75" s="91"/>
    </row>
    <row r="76" spans="1:5" s="17" customFormat="1" ht="24" x14ac:dyDescent="0.25">
      <c r="A76" s="2"/>
      <c r="B76" s="74" t="s">
        <v>262</v>
      </c>
      <c r="C76" s="81" t="s">
        <v>263</v>
      </c>
      <c r="D76" s="275"/>
      <c r="E76" s="91"/>
    </row>
    <row r="77" spans="1:5" ht="48" x14ac:dyDescent="0.25">
      <c r="B77" s="74">
        <v>48</v>
      </c>
      <c r="C77" s="81" t="s">
        <v>264</v>
      </c>
      <c r="D77" s="503"/>
      <c r="E77" s="91"/>
    </row>
    <row r="78" spans="1:5" ht="24" x14ac:dyDescent="0.25">
      <c r="B78" s="74">
        <v>49</v>
      </c>
      <c r="C78" s="81" t="s">
        <v>265</v>
      </c>
      <c r="D78" s="275"/>
      <c r="E78" s="91"/>
    </row>
    <row r="79" spans="1:5" x14ac:dyDescent="0.25">
      <c r="B79" s="74">
        <v>50</v>
      </c>
      <c r="C79" s="81" t="s">
        <v>266</v>
      </c>
      <c r="D79" s="275"/>
      <c r="E79" s="91"/>
    </row>
    <row r="80" spans="1:5" x14ac:dyDescent="0.25">
      <c r="B80" s="78">
        <v>51</v>
      </c>
      <c r="C80" s="83" t="s">
        <v>267</v>
      </c>
      <c r="D80" s="276">
        <f>SUM(D73:D79)</f>
        <v>84465</v>
      </c>
      <c r="E80" s="92"/>
    </row>
    <row r="81" spans="2:7" x14ac:dyDescent="0.25">
      <c r="B81" s="554" t="s">
        <v>268</v>
      </c>
      <c r="C81" s="555"/>
      <c r="D81" s="555"/>
      <c r="E81" s="556"/>
    </row>
    <row r="82" spans="2:7" ht="24" x14ac:dyDescent="0.25">
      <c r="B82" s="74">
        <v>52</v>
      </c>
      <c r="C82" s="81" t="s">
        <v>269</v>
      </c>
      <c r="D82" s="76"/>
      <c r="E82" s="91"/>
    </row>
    <row r="83" spans="2:7" ht="60" x14ac:dyDescent="0.25">
      <c r="B83" s="74">
        <v>53</v>
      </c>
      <c r="C83" s="81" t="s">
        <v>270</v>
      </c>
      <c r="D83" s="76"/>
      <c r="E83" s="91"/>
    </row>
    <row r="84" spans="2:7" ht="48" x14ac:dyDescent="0.25">
      <c r="B84" s="74">
        <v>54</v>
      </c>
      <c r="C84" s="81" t="s">
        <v>271</v>
      </c>
      <c r="D84" s="275">
        <v>6000</v>
      </c>
      <c r="E84" s="91"/>
    </row>
    <row r="85" spans="2:7" x14ac:dyDescent="0.25">
      <c r="B85" s="74" t="s">
        <v>272</v>
      </c>
      <c r="C85" s="81" t="s">
        <v>19</v>
      </c>
      <c r="D85" s="275"/>
      <c r="E85" s="91"/>
    </row>
    <row r="86" spans="2:7" ht="48" x14ac:dyDescent="0.25">
      <c r="B86" s="74">
        <v>55</v>
      </c>
      <c r="C86" s="81" t="s">
        <v>273</v>
      </c>
      <c r="D86" s="275"/>
      <c r="E86" s="91"/>
    </row>
    <row r="87" spans="2:7" x14ac:dyDescent="0.25">
      <c r="B87" s="74">
        <v>56</v>
      </c>
      <c r="C87" s="81" t="s">
        <v>19</v>
      </c>
      <c r="D87" s="275"/>
      <c r="E87" s="91"/>
    </row>
    <row r="88" spans="2:7" ht="24" x14ac:dyDescent="0.25">
      <c r="B88" s="74" t="s">
        <v>274</v>
      </c>
      <c r="C88" s="77" t="s">
        <v>275</v>
      </c>
      <c r="D88" s="276"/>
      <c r="E88" s="91"/>
    </row>
    <row r="89" spans="2:7" x14ac:dyDescent="0.25">
      <c r="B89" s="74" t="s">
        <v>276</v>
      </c>
      <c r="C89" s="77" t="s">
        <v>277</v>
      </c>
      <c r="D89" s="276"/>
      <c r="E89" s="91"/>
    </row>
    <row r="90" spans="2:7" x14ac:dyDescent="0.25">
      <c r="B90" s="78">
        <v>57</v>
      </c>
      <c r="C90" s="80" t="s">
        <v>278</v>
      </c>
      <c r="D90" s="276">
        <f>SUM(D82:D89)</f>
        <v>6000</v>
      </c>
      <c r="E90" s="91"/>
    </row>
    <row r="91" spans="2:7" x14ac:dyDescent="0.25">
      <c r="B91" s="78">
        <v>58</v>
      </c>
      <c r="C91" s="80" t="s">
        <v>279</v>
      </c>
      <c r="D91" s="276">
        <f>+D80-D90</f>
        <v>78465</v>
      </c>
      <c r="E91" s="91"/>
    </row>
    <row r="92" spans="2:7" ht="23.25" customHeight="1" x14ac:dyDescent="0.25">
      <c r="B92" s="78">
        <v>59</v>
      </c>
      <c r="C92" s="80" t="s">
        <v>280</v>
      </c>
      <c r="D92" s="276">
        <f>+D71+D91</f>
        <v>586680</v>
      </c>
      <c r="E92" s="91"/>
    </row>
    <row r="93" spans="2:7" x14ac:dyDescent="0.25">
      <c r="B93" s="78">
        <v>60</v>
      </c>
      <c r="C93" s="80" t="s">
        <v>91</v>
      </c>
      <c r="D93" s="276">
        <f>+'EU OV1'!D44</f>
        <v>2554800.787</v>
      </c>
      <c r="E93" s="92"/>
    </row>
    <row r="94" spans="2:7" x14ac:dyDescent="0.25">
      <c r="B94" s="554" t="s">
        <v>281</v>
      </c>
      <c r="C94" s="555"/>
      <c r="D94" s="555"/>
      <c r="E94" s="556"/>
    </row>
    <row r="95" spans="2:7" x14ac:dyDescent="0.25">
      <c r="B95" s="74">
        <v>61</v>
      </c>
      <c r="C95" s="81" t="s">
        <v>282</v>
      </c>
      <c r="D95" s="277">
        <f>+D50/D93</f>
        <v>0.17935449305151635</v>
      </c>
      <c r="E95" s="91"/>
      <c r="G95" s="499"/>
    </row>
    <row r="96" spans="2:7" x14ac:dyDescent="0.25">
      <c r="B96" s="74">
        <v>62</v>
      </c>
      <c r="C96" s="81" t="s">
        <v>283</v>
      </c>
      <c r="D96" s="277">
        <f>+D71/D93</f>
        <v>0.19892549062378223</v>
      </c>
      <c r="E96" s="91"/>
      <c r="G96" s="499"/>
    </row>
    <row r="97" spans="2:7" x14ac:dyDescent="0.25">
      <c r="B97" s="74">
        <v>63</v>
      </c>
      <c r="C97" s="81" t="s">
        <v>284</v>
      </c>
      <c r="D97" s="277">
        <f>+D92/D93</f>
        <v>0.22963825711393912</v>
      </c>
      <c r="E97" s="91"/>
      <c r="G97" s="499"/>
    </row>
    <row r="98" spans="2:7" x14ac:dyDescent="0.25">
      <c r="B98" s="74">
        <v>64</v>
      </c>
      <c r="C98" s="81" t="s">
        <v>285</v>
      </c>
      <c r="D98" s="504">
        <f>2.5%+2%+5.85%</f>
        <v>0.10349999999999999</v>
      </c>
      <c r="E98" s="91"/>
      <c r="G98" s="17"/>
    </row>
    <row r="99" spans="2:7" x14ac:dyDescent="0.25">
      <c r="B99" s="74">
        <v>65</v>
      </c>
      <c r="C99" s="77" t="s">
        <v>286</v>
      </c>
      <c r="D99" s="504">
        <v>2.5000000000000001E-2</v>
      </c>
      <c r="E99" s="91"/>
    </row>
    <row r="100" spans="2:7" x14ac:dyDescent="0.25">
      <c r="B100" s="74">
        <v>66</v>
      </c>
      <c r="C100" s="77" t="s">
        <v>287</v>
      </c>
      <c r="D100" s="504">
        <v>0.02</v>
      </c>
      <c r="E100" s="91"/>
    </row>
    <row r="101" spans="2:7" x14ac:dyDescent="0.25">
      <c r="B101" s="74">
        <v>67</v>
      </c>
      <c r="C101" s="77" t="s">
        <v>288</v>
      </c>
      <c r="D101" s="504">
        <v>0</v>
      </c>
      <c r="E101" s="91"/>
    </row>
    <row r="102" spans="2:7" x14ac:dyDescent="0.25">
      <c r="B102" s="74" t="s">
        <v>289</v>
      </c>
      <c r="C102" s="81" t="s">
        <v>290</v>
      </c>
      <c r="D102" s="504">
        <v>0</v>
      </c>
      <c r="E102" s="91"/>
    </row>
    <row r="103" spans="2:7" ht="24" x14ac:dyDescent="0.25">
      <c r="B103" s="74" t="s">
        <v>291</v>
      </c>
      <c r="C103" s="81" t="s">
        <v>292</v>
      </c>
      <c r="D103" s="504">
        <f>2.4%*0.5625</f>
        <v>1.35E-2</v>
      </c>
      <c r="E103" s="91"/>
    </row>
    <row r="104" spans="2:7" ht="24" x14ac:dyDescent="0.25">
      <c r="B104" s="74">
        <v>68</v>
      </c>
      <c r="C104" s="83" t="s">
        <v>293</v>
      </c>
      <c r="D104" s="504">
        <f>+D95-D98</f>
        <v>7.5854493051516356E-2</v>
      </c>
      <c r="E104" s="91"/>
      <c r="G104" s="17"/>
    </row>
    <row r="105" spans="2:7" x14ac:dyDescent="0.25">
      <c r="B105" s="554" t="s">
        <v>294</v>
      </c>
      <c r="C105" s="555"/>
      <c r="D105" s="555"/>
      <c r="E105" s="556"/>
    </row>
    <row r="106" spans="2:7" x14ac:dyDescent="0.25">
      <c r="B106" s="74">
        <v>69</v>
      </c>
      <c r="C106" s="84" t="s">
        <v>295</v>
      </c>
      <c r="D106" s="76"/>
      <c r="E106" s="91"/>
    </row>
    <row r="107" spans="2:7" x14ac:dyDescent="0.25">
      <c r="B107" s="74">
        <v>70</v>
      </c>
      <c r="C107" s="84" t="s">
        <v>295</v>
      </c>
      <c r="D107" s="76"/>
      <c r="E107" s="91"/>
    </row>
    <row r="108" spans="2:7" x14ac:dyDescent="0.25">
      <c r="B108" s="74">
        <v>71</v>
      </c>
      <c r="C108" s="84" t="s">
        <v>295</v>
      </c>
      <c r="D108" s="76"/>
      <c r="E108" s="91"/>
    </row>
    <row r="109" spans="2:7" x14ac:dyDescent="0.25">
      <c r="B109" s="554" t="s">
        <v>296</v>
      </c>
      <c r="C109" s="555"/>
      <c r="D109" s="555"/>
      <c r="E109" s="556"/>
    </row>
    <row r="110" spans="2:7" x14ac:dyDescent="0.25">
      <c r="B110" s="560">
        <v>72</v>
      </c>
      <c r="C110" s="563" t="s">
        <v>297</v>
      </c>
      <c r="D110" s="560"/>
      <c r="E110" s="566"/>
    </row>
    <row r="111" spans="2:7" x14ac:dyDescent="0.25">
      <c r="B111" s="561"/>
      <c r="C111" s="564"/>
      <c r="D111" s="561"/>
      <c r="E111" s="567"/>
    </row>
    <row r="112" spans="2:7" x14ac:dyDescent="0.25">
      <c r="B112" s="562"/>
      <c r="C112" s="565"/>
      <c r="D112" s="562"/>
      <c r="E112" s="568"/>
    </row>
    <row r="113" spans="2:5" ht="48" x14ac:dyDescent="0.25">
      <c r="B113" s="74">
        <v>73</v>
      </c>
      <c r="C113" s="81" t="s">
        <v>298</v>
      </c>
      <c r="D113" s="76"/>
      <c r="E113" s="91"/>
    </row>
    <row r="114" spans="2:5" x14ac:dyDescent="0.25">
      <c r="B114" s="74">
        <v>74</v>
      </c>
      <c r="C114" s="81" t="s">
        <v>19</v>
      </c>
      <c r="D114" s="76"/>
      <c r="E114" s="91"/>
    </row>
    <row r="115" spans="2:5" ht="36" x14ac:dyDescent="0.25">
      <c r="B115" s="74">
        <v>75</v>
      </c>
      <c r="C115" s="81" t="s">
        <v>299</v>
      </c>
      <c r="D115" s="76"/>
      <c r="E115" s="91"/>
    </row>
    <row r="116" spans="2:5" x14ac:dyDescent="0.25">
      <c r="B116" s="554" t="s">
        <v>300</v>
      </c>
      <c r="C116" s="555"/>
      <c r="D116" s="555"/>
      <c r="E116" s="556"/>
    </row>
    <row r="117" spans="2:5" ht="36" x14ac:dyDescent="0.25">
      <c r="B117" s="74">
        <v>76</v>
      </c>
      <c r="C117" s="81" t="s">
        <v>301</v>
      </c>
      <c r="D117" s="76"/>
      <c r="E117" s="91"/>
    </row>
    <row r="118" spans="2:5" ht="24" x14ac:dyDescent="0.25">
      <c r="B118" s="74">
        <v>77</v>
      </c>
      <c r="C118" s="81" t="s">
        <v>302</v>
      </c>
      <c r="D118" s="76"/>
      <c r="E118" s="91"/>
    </row>
    <row r="119" spans="2:5" ht="36" x14ac:dyDescent="0.25">
      <c r="B119" s="74">
        <v>78</v>
      </c>
      <c r="C119" s="81" t="s">
        <v>303</v>
      </c>
      <c r="D119" s="76"/>
      <c r="E119" s="91"/>
    </row>
    <row r="120" spans="2:5" ht="24" x14ac:dyDescent="0.25">
      <c r="B120" s="74">
        <v>79</v>
      </c>
      <c r="C120" s="81" t="s">
        <v>304</v>
      </c>
      <c r="D120" s="76"/>
      <c r="E120" s="91"/>
    </row>
    <row r="121" spans="2:5" x14ac:dyDescent="0.25">
      <c r="B121" s="557" t="s">
        <v>305</v>
      </c>
      <c r="C121" s="558"/>
      <c r="D121" s="558"/>
      <c r="E121" s="559"/>
    </row>
    <row r="122" spans="2:5" ht="24" x14ac:dyDescent="0.25">
      <c r="B122" s="74">
        <v>80</v>
      </c>
      <c r="C122" s="81" t="s">
        <v>306</v>
      </c>
      <c r="D122" s="81"/>
      <c r="E122" s="91"/>
    </row>
    <row r="123" spans="2:5" ht="24" x14ac:dyDescent="0.25">
      <c r="B123" s="74">
        <v>81</v>
      </c>
      <c r="C123" s="81" t="s">
        <v>307</v>
      </c>
      <c r="D123" s="81"/>
      <c r="E123" s="91"/>
    </row>
    <row r="124" spans="2:5" ht="24" x14ac:dyDescent="0.25">
      <c r="B124" s="74">
        <v>82</v>
      </c>
      <c r="C124" s="81" t="s">
        <v>308</v>
      </c>
      <c r="D124" s="75"/>
      <c r="E124" s="91"/>
    </row>
    <row r="125" spans="2:5" ht="24" x14ac:dyDescent="0.25">
      <c r="B125" s="74">
        <v>83</v>
      </c>
      <c r="C125" s="81" t="s">
        <v>309</v>
      </c>
      <c r="D125" s="75"/>
      <c r="E125" s="91"/>
    </row>
    <row r="126" spans="2:5" ht="24" x14ac:dyDescent="0.25">
      <c r="B126" s="74">
        <v>84</v>
      </c>
      <c r="C126" s="81" t="s">
        <v>310</v>
      </c>
      <c r="D126" s="75"/>
      <c r="E126" s="91"/>
    </row>
    <row r="127" spans="2:5" ht="24" x14ac:dyDescent="0.25">
      <c r="B127" s="74">
        <v>85</v>
      </c>
      <c r="C127" s="81" t="s">
        <v>311</v>
      </c>
      <c r="D127" s="75"/>
      <c r="E127" s="91"/>
    </row>
    <row r="128" spans="2:5" x14ac:dyDescent="0.25">
      <c r="B128" s="85"/>
    </row>
    <row r="129" spans="2:2" x14ac:dyDescent="0.25">
      <c r="B129" s="85"/>
    </row>
    <row r="130" spans="2:2" x14ac:dyDescent="0.25">
      <c r="B130" s="86"/>
    </row>
    <row r="131" spans="2:2" x14ac:dyDescent="0.25">
      <c r="B131" s="86"/>
    </row>
    <row r="132" spans="2:2" x14ac:dyDescent="0.25">
      <c r="B132" s="86"/>
    </row>
    <row r="133" spans="2:2" x14ac:dyDescent="0.25">
      <c r="B133" s="86"/>
    </row>
  </sheetData>
  <sheetProtection algorithmName="SHA-512" hashValue="hyPWVds8vr/e3wnCpRPFuCv0U/pKvv3U/tT/DKYV7HFCjiAgTwl09BkcrohpiQKam3yzZpy6ujowK4omNh3+Hw==" saltValue="/pfsYZkMsxHVWVlIIuyG+g==" spinCount="100000" sheet="1" objects="1" scenarios="1"/>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62992125984251968" right="0.23622047244094491" top="0.74803149606299213" bottom="0.74803149606299213" header="0.31496062992125984" footer="0.31496062992125984"/>
  <pageSetup paperSize="9" fitToHeight="0" orientation="portrait" r:id="rId1"/>
  <headerFooter>
    <oddHeader>&amp;CDA
Bilag VII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11B35-B800-4B54-8A37-62D54B2BF93F}">
  <sheetPr>
    <tabColor theme="0" tint="-0.14999847407452621"/>
    <pageSetUpPr fitToPage="1"/>
  </sheetPr>
  <dimension ref="A3:O36"/>
  <sheetViews>
    <sheetView workbookViewId="0"/>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8.42578125" customWidth="1"/>
    <col min="9" max="9" width="14" customWidth="1"/>
    <col min="10" max="10" width="18.85546875" customWidth="1"/>
    <col min="11" max="11" width="20.28515625" customWidth="1"/>
    <col min="12" max="12" width="14.28515625" customWidth="1"/>
    <col min="13" max="13" width="13.140625" customWidth="1"/>
    <col min="14" max="15" width="14.5703125" customWidth="1"/>
  </cols>
  <sheetData>
    <row r="3" spans="1:15" x14ac:dyDescent="0.25">
      <c r="B3" s="93" t="s">
        <v>314</v>
      </c>
    </row>
    <row r="4" spans="1:15" ht="18.75" x14ac:dyDescent="0.25">
      <c r="B4" s="40"/>
    </row>
    <row r="6" spans="1:15" x14ac:dyDescent="0.25">
      <c r="A6" s="11"/>
      <c r="B6" s="11"/>
      <c r="C6" s="94" t="s">
        <v>2</v>
      </c>
      <c r="D6" s="94" t="s">
        <v>3</v>
      </c>
      <c r="E6" s="94" t="s">
        <v>4</v>
      </c>
      <c r="F6" s="94" t="s">
        <v>100</v>
      </c>
      <c r="G6" s="94" t="s">
        <v>99</v>
      </c>
      <c r="H6" s="94" t="s">
        <v>115</v>
      </c>
      <c r="I6" s="94" t="s">
        <v>116</v>
      </c>
      <c r="J6" s="94" t="s">
        <v>145</v>
      </c>
      <c r="K6" s="94" t="s">
        <v>316</v>
      </c>
      <c r="L6" s="94" t="s">
        <v>317</v>
      </c>
      <c r="M6" s="94" t="s">
        <v>318</v>
      </c>
      <c r="N6" s="94" t="s">
        <v>319</v>
      </c>
      <c r="O6" s="94" t="s">
        <v>320</v>
      </c>
    </row>
    <row r="7" spans="1:15" ht="15.75" customHeight="1" x14ac:dyDescent="0.25">
      <c r="A7" s="11"/>
      <c r="B7" s="11"/>
      <c r="C7" s="575" t="s">
        <v>321</v>
      </c>
      <c r="D7" s="576"/>
      <c r="E7" s="575" t="s">
        <v>322</v>
      </c>
      <c r="F7" s="576"/>
      <c r="G7" s="572" t="s">
        <v>323</v>
      </c>
      <c r="H7" s="572" t="s">
        <v>847</v>
      </c>
      <c r="I7" s="575" t="s">
        <v>324</v>
      </c>
      <c r="J7" s="579"/>
      <c r="K7" s="579"/>
      <c r="L7" s="576"/>
      <c r="M7" s="572" t="s">
        <v>325</v>
      </c>
      <c r="N7" s="572" t="s">
        <v>326</v>
      </c>
      <c r="O7" s="572" t="s">
        <v>327</v>
      </c>
    </row>
    <row r="8" spans="1:15" x14ac:dyDescent="0.25">
      <c r="A8" s="11"/>
      <c r="B8" s="11"/>
      <c r="C8" s="577"/>
      <c r="D8" s="578"/>
      <c r="E8" s="577"/>
      <c r="F8" s="578"/>
      <c r="G8" s="573"/>
      <c r="H8" s="573"/>
      <c r="I8" s="577"/>
      <c r="J8" s="580"/>
      <c r="K8" s="580"/>
      <c r="L8" s="581"/>
      <c r="M8" s="573"/>
      <c r="N8" s="573"/>
      <c r="O8" s="573"/>
    </row>
    <row r="9" spans="1:15" ht="60" x14ac:dyDescent="0.25">
      <c r="A9" s="11"/>
      <c r="B9" s="11"/>
      <c r="C9" s="94" t="s">
        <v>328</v>
      </c>
      <c r="D9" s="94" t="s">
        <v>329</v>
      </c>
      <c r="E9" s="94" t="s">
        <v>330</v>
      </c>
      <c r="F9" s="94" t="s">
        <v>331</v>
      </c>
      <c r="G9" s="574"/>
      <c r="H9" s="574"/>
      <c r="I9" s="95" t="s">
        <v>332</v>
      </c>
      <c r="J9" s="95" t="s">
        <v>322</v>
      </c>
      <c r="K9" s="95" t="s">
        <v>333</v>
      </c>
      <c r="L9" s="96" t="s">
        <v>334</v>
      </c>
      <c r="M9" s="574"/>
      <c r="N9" s="574"/>
      <c r="O9" s="574"/>
    </row>
    <row r="10" spans="1:15" ht="24" x14ac:dyDescent="0.25">
      <c r="A10" s="97" t="s">
        <v>335</v>
      </c>
      <c r="B10" s="98" t="s">
        <v>336</v>
      </c>
      <c r="C10" s="99"/>
      <c r="D10" s="99"/>
      <c r="E10" s="99"/>
      <c r="F10" s="99"/>
      <c r="G10" s="99"/>
      <c r="H10" s="99"/>
      <c r="I10" s="99"/>
      <c r="J10" s="99"/>
      <c r="K10" s="99"/>
      <c r="L10" s="99"/>
      <c r="M10" s="99"/>
      <c r="N10" s="100"/>
      <c r="O10" s="100"/>
    </row>
    <row r="11" spans="1:15" x14ac:dyDescent="0.25">
      <c r="A11" s="101"/>
      <c r="B11" s="102" t="s">
        <v>340</v>
      </c>
      <c r="C11" s="103">
        <v>4408214</v>
      </c>
      <c r="D11" s="103"/>
      <c r="E11" s="103">
        <f>44884+1363201-44776</f>
        <v>1363309</v>
      </c>
      <c r="F11" s="103"/>
      <c r="G11" s="103"/>
      <c r="H11" s="104">
        <f>SUM(C11:G11)</f>
        <v>5771523</v>
      </c>
      <c r="I11" s="103">
        <f>1917613*0.08</f>
        <v>153409.04</v>
      </c>
      <c r="J11" s="103">
        <f>232887*0.08</f>
        <v>18630.96</v>
      </c>
      <c r="K11" s="103"/>
      <c r="L11" s="103">
        <f>SUM(I11:K11)</f>
        <v>172040</v>
      </c>
      <c r="M11" s="104">
        <v>2554801</v>
      </c>
      <c r="N11" s="486">
        <v>1</v>
      </c>
      <c r="O11" s="487">
        <v>0.02</v>
      </c>
    </row>
    <row r="12" spans="1:15" x14ac:dyDescent="0.25">
      <c r="A12" s="101"/>
      <c r="B12" s="105"/>
      <c r="C12" s="103"/>
      <c r="D12" s="103"/>
      <c r="E12" s="103"/>
      <c r="F12" s="103"/>
      <c r="G12" s="103"/>
      <c r="H12" s="104"/>
      <c r="I12" s="103"/>
      <c r="J12" s="103"/>
      <c r="K12" s="103"/>
      <c r="L12" s="103"/>
      <c r="M12" s="104"/>
      <c r="N12" s="486"/>
      <c r="O12" s="103"/>
    </row>
    <row r="13" spans="1:15" x14ac:dyDescent="0.25">
      <c r="A13" s="106" t="s">
        <v>337</v>
      </c>
      <c r="B13" s="105" t="s">
        <v>38</v>
      </c>
      <c r="C13" s="103">
        <f>SUM(C11:C12)</f>
        <v>4408214</v>
      </c>
      <c r="D13" s="103"/>
      <c r="E13" s="103">
        <f>SUM(E11:E12)</f>
        <v>1363309</v>
      </c>
      <c r="F13" s="103"/>
      <c r="G13" s="103"/>
      <c r="H13" s="103">
        <f>SUM(H11:H12)</f>
        <v>5771523</v>
      </c>
      <c r="I13" s="103">
        <f>SUM(I11:I12)</f>
        <v>153409.04</v>
      </c>
      <c r="J13" s="103">
        <f>SUM(J11:J12)</f>
        <v>18630.96</v>
      </c>
      <c r="K13" s="103"/>
      <c r="L13" s="103">
        <f>SUM(L11:L12)</f>
        <v>172040</v>
      </c>
      <c r="M13" s="104">
        <f>SUM(M11:M12)</f>
        <v>2554801</v>
      </c>
      <c r="N13" s="486">
        <v>1</v>
      </c>
      <c r="O13" s="107"/>
    </row>
    <row r="15" spans="1:15" x14ac:dyDescent="0.25">
      <c r="B15" s="484" t="s">
        <v>832</v>
      </c>
    </row>
    <row r="16" spans="1:15" x14ac:dyDescent="0.25">
      <c r="B16" s="484" t="s">
        <v>833</v>
      </c>
    </row>
    <row r="17" spans="2:3" x14ac:dyDescent="0.25">
      <c r="B17" s="484" t="s">
        <v>917</v>
      </c>
      <c r="C17" s="11">
        <v>16</v>
      </c>
    </row>
    <row r="18" spans="2:3" s="11" customFormat="1" ht="12" x14ac:dyDescent="0.2">
      <c r="B18" s="484" t="s">
        <v>834</v>
      </c>
      <c r="C18" s="485">
        <v>30</v>
      </c>
    </row>
    <row r="19" spans="2:3" s="11" customFormat="1" ht="12" x14ac:dyDescent="0.2">
      <c r="B19" s="484" t="s">
        <v>835</v>
      </c>
      <c r="C19" s="485">
        <v>5</v>
      </c>
    </row>
    <row r="20" spans="2:3" s="11" customFormat="1" ht="12" x14ac:dyDescent="0.2">
      <c r="B20" s="484" t="s">
        <v>918</v>
      </c>
      <c r="C20" s="485">
        <v>28</v>
      </c>
    </row>
    <row r="21" spans="2:3" s="11" customFormat="1" ht="12" x14ac:dyDescent="0.2">
      <c r="B21" s="484" t="s">
        <v>836</v>
      </c>
      <c r="C21" s="485">
        <v>679</v>
      </c>
    </row>
    <row r="22" spans="2:3" s="11" customFormat="1" ht="12" x14ac:dyDescent="0.2">
      <c r="B22" s="484" t="s">
        <v>837</v>
      </c>
      <c r="C22" s="485">
        <v>1103</v>
      </c>
    </row>
    <row r="23" spans="2:3" s="11" customFormat="1" ht="12" x14ac:dyDescent="0.2">
      <c r="B23" s="484" t="s">
        <v>838</v>
      </c>
      <c r="C23" s="485">
        <v>404</v>
      </c>
    </row>
    <row r="24" spans="2:3" s="11" customFormat="1" ht="12" x14ac:dyDescent="0.2">
      <c r="B24" s="484" t="s">
        <v>839</v>
      </c>
      <c r="C24" s="485">
        <v>47</v>
      </c>
    </row>
    <row r="25" spans="2:3" s="11" customFormat="1" ht="12" x14ac:dyDescent="0.2">
      <c r="B25" s="484" t="s">
        <v>919</v>
      </c>
      <c r="C25" s="485">
        <v>30</v>
      </c>
    </row>
    <row r="26" spans="2:3" s="11" customFormat="1" ht="12" x14ac:dyDescent="0.2">
      <c r="B26" s="484" t="s">
        <v>840</v>
      </c>
      <c r="C26" s="485">
        <v>222</v>
      </c>
    </row>
    <row r="27" spans="2:3" s="11" customFormat="1" ht="12" x14ac:dyDescent="0.2">
      <c r="B27" s="484" t="s">
        <v>841</v>
      </c>
      <c r="C27" s="485">
        <v>100</v>
      </c>
    </row>
    <row r="28" spans="2:3" s="11" customFormat="1" ht="12" x14ac:dyDescent="0.2">
      <c r="B28" s="484" t="s">
        <v>842</v>
      </c>
      <c r="C28" s="485">
        <v>660</v>
      </c>
    </row>
    <row r="29" spans="2:3" s="11" customFormat="1" ht="12" x14ac:dyDescent="0.2">
      <c r="B29" s="484" t="s">
        <v>920</v>
      </c>
      <c r="C29" s="485">
        <v>50</v>
      </c>
    </row>
    <row r="30" spans="2:3" s="11" customFormat="1" ht="12" x14ac:dyDescent="0.2">
      <c r="B30" s="484" t="s">
        <v>843</v>
      </c>
      <c r="C30" s="485">
        <v>403</v>
      </c>
    </row>
    <row r="31" spans="2:3" s="11" customFormat="1" ht="12" x14ac:dyDescent="0.2">
      <c r="B31" s="484" t="s">
        <v>844</v>
      </c>
      <c r="C31" s="485">
        <v>125</v>
      </c>
    </row>
    <row r="32" spans="2:3" s="11" customFormat="1" ht="12" x14ac:dyDescent="0.2">
      <c r="B32" s="484" t="s">
        <v>845</v>
      </c>
      <c r="C32" s="485">
        <v>474</v>
      </c>
    </row>
    <row r="33" spans="2:3" s="11" customFormat="1" ht="12" x14ac:dyDescent="0.2">
      <c r="B33" s="484" t="s">
        <v>846</v>
      </c>
      <c r="C33" s="485">
        <f>4690-44</f>
        <v>4646</v>
      </c>
    </row>
    <row r="34" spans="2:3" s="11" customFormat="1" ht="12.75" thickBot="1" x14ac:dyDescent="0.25">
      <c r="B34" s="484" t="s">
        <v>38</v>
      </c>
      <c r="C34" s="488">
        <f>SUM(C17:C33)</f>
        <v>9022</v>
      </c>
    </row>
    <row r="35" spans="2:3" s="11" customFormat="1" ht="12.75" thickTop="1" x14ac:dyDescent="0.2"/>
    <row r="36" spans="2:3" s="11" customFormat="1" ht="12" x14ac:dyDescent="0.2"/>
  </sheetData>
  <sheetProtection algorithmName="SHA-512" hashValue="Ebqd+CJNkHkSCRu5PgpxASV/ZrZwCeVqJxhnkYBmS6/4Ph+34XCLTpyizjAl800EhC64kBiZDZ7dPq9qdkDlVQ==" saltValue="psGyQl8LzwV/R+D+CeTLtg==" spinCount="100000" sheet="1" objects="1" scenarios="1"/>
  <mergeCells count="8">
    <mergeCell ref="N7:N9"/>
    <mergeCell ref="O7:O9"/>
    <mergeCell ref="C7:D8"/>
    <mergeCell ref="E7:F8"/>
    <mergeCell ref="G7:G9"/>
    <mergeCell ref="H7:H9"/>
    <mergeCell ref="I7:L8"/>
    <mergeCell ref="M7:M9"/>
  </mergeCells>
  <conditionalFormatting sqref="N11:N13 O11:O12 C10:M13">
    <cfRule type="cellIs" dxfId="3" priority="5" stopIfTrue="1" operator="lessThan">
      <formula>0</formula>
    </cfRule>
  </conditionalFormatting>
  <conditionalFormatting sqref="O13">
    <cfRule type="cellIs" dxfId="2" priority="4" stopIfTrue="1" operator="lessThan">
      <formula>0</formula>
    </cfRule>
  </conditionalFormatting>
  <pageMargins left="0.11811023622047245" right="0.11811023622047245" top="0.74803149606299213" bottom="0.74803149606299213" header="0.31496062992125984" footer="0.31496062992125984"/>
  <pageSetup paperSize="9" scale="60" fitToHeight="0" orientation="landscape" r:id="rId1"/>
  <headerFooter>
    <oddHeader>&amp;CDA
Bilag IX</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uden persondata" ma:contentTypeID="0x010100EA22E0D6A1D0534EBC7F181E32C2C501009281A8FBAC6A754687E8BC24AB4F1F11" ma:contentTypeVersion="8" ma:contentTypeDescription="Opret et nyt dokument." ma:contentTypeScope="" ma:versionID="e1a47c22eb752d0db9a097174b383adf">
  <xsd:schema xmlns:xsd="http://www.w3.org/2001/XMLSchema" xmlns:xs="http://www.w3.org/2001/XMLSchema" xmlns:p="http://schemas.microsoft.com/office/2006/metadata/properties" xmlns:ns2="d78d52d3-3c37-43f6-bd33-41345c71cbbe" xmlns:ns3="0668eec2-730b-4fc1-a9bc-8229da4f5e8e" xmlns:ns4="f6c75089-c181-4531-af5e-b9c5706b6804" targetNamespace="http://schemas.microsoft.com/office/2006/metadata/properties" ma:root="true" ma:fieldsID="58bb9cbd5836d15084c891978430068b" ns2:_="" ns3:_="" ns4:_="">
    <xsd:import namespace="d78d52d3-3c37-43f6-bd33-41345c71cbbe"/>
    <xsd:import namespace="0668eec2-730b-4fc1-a9bc-8229da4f5e8e"/>
    <xsd:import namespace="f6c75089-c181-4531-af5e-b9c5706b6804"/>
    <xsd:element name="properties">
      <xsd:complexType>
        <xsd:sequence>
          <xsd:element name="documentManagement">
            <xsd:complexType>
              <xsd:all>
                <xsd:element ref="ns2:_dlc_DocId" minOccurs="0"/>
                <xsd:element ref="ns2:_dlc_DocIdUrl" minOccurs="0"/>
                <xsd:element ref="ns2:_dlc_DocIdPersistId" minOccurs="0"/>
                <xsd:element ref="ns3:BD_GDPR_Indsigtsret" minOccurs="0"/>
                <xsd:element ref="ns3:BD_GDPR_SletteNotifikation" minOccurs="0"/>
                <xsd:element ref="ns2:TaxCatchAll" minOccurs="0"/>
                <xsd:element ref="ns2:TaxCatchAllLabel" minOccurs="0"/>
                <xsd:element ref="ns2:a136a5d333f346b292da0ca360edfdb6" minOccurs="0"/>
                <xsd:element ref="ns4:BD_GDPR_OfficeDocumen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d52d3-3c37-43f6-bd33-41345c71cbbe"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3" nillable="true" ma:displayName="Taxonomy Catch All Column" ma:hidden="true" ma:list="{b0be6ec7-2c27-4567-bc21-f97493506a4a}" ma:internalName="TaxCatchAll" ma:showField="CatchAllData" ma:web="d78d52d3-3c37-43f6-bd33-41345c71cbbe">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b0be6ec7-2c27-4567-bc21-f97493506a4a}" ma:internalName="TaxCatchAllLabel" ma:readOnly="true" ma:showField="CatchAllDataLabel" ma:web="d78d52d3-3c37-43f6-bd33-41345c71cbbe">
      <xsd:complexType>
        <xsd:complexContent>
          <xsd:extension base="dms:MultiChoiceLookup">
            <xsd:sequence>
              <xsd:element name="Value" type="dms:Lookup" maxOccurs="unbounded" minOccurs="0" nillable="true"/>
            </xsd:sequence>
          </xsd:extension>
        </xsd:complexContent>
      </xsd:complexType>
    </xsd:element>
    <xsd:element name="a136a5d333f346b292da0ca360edfdb6" ma:index="15" nillable="true" ma:taxonomy="true" ma:internalName="a136a5d333f346b292da0ca360edfdb6" ma:taxonomyFieldName="BD_x002d_GDPR_x002d_SletteKategori" ma:displayName="SletteKategori" ma:indexed="true" ma:default="1;#BD ref. liste|2490cc7c-71a1-4edd-a080-b2562e367af6" ma:fieldId="{a136a5d3-33f3-46b2-92da-0ca360edfdb6}" ma:sspId="590b1b75-0903-455b-a8e3-3a9cb6194990" ma:termSetId="3101e47e-7b43-4301-a105-1b465b6d573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668eec2-730b-4fc1-a9bc-8229da4f5e8e" elementFormDefault="qualified">
    <xsd:import namespace="http://schemas.microsoft.com/office/2006/documentManagement/types"/>
    <xsd:import namespace="http://schemas.microsoft.com/office/infopath/2007/PartnerControls"/>
    <xsd:element name="BD_GDPR_Indsigtsret" ma:index="11" nillable="true" ma:displayName="Indsigtsret" ma:default="1" ma:internalName="BD_GDPR_Indsigtsret">
      <xsd:simpleType>
        <xsd:restriction base="dms:Boolean"/>
      </xsd:simpleType>
    </xsd:element>
    <xsd:element name="BD_GDPR_SletteNotifikation" ma:index="12" nillable="true" ma:displayName="SletteNotifikation" ma:default="1" ma:internalName="BD_GDPR_SletteNotifika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6c75089-c181-4531-af5e-b9c5706b6804" elementFormDefault="qualified">
    <xsd:import namespace="http://schemas.microsoft.com/office/2006/documentManagement/types"/>
    <xsd:import namespace="http://schemas.microsoft.com/office/infopath/2007/PartnerControls"/>
    <xsd:element name="BD_GDPR_OfficeDocumentDate" ma:index="17" nillable="true" ma:displayName="BDGDPROfficeDocumentDate" ma:hidden="true" ma:internalName="BD_GDPR_OfficeDocument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D_GDPR_SletteNotifikation xmlns="0668eec2-730b-4fc1-a9bc-8229da4f5e8e">false</BD_GDPR_SletteNotifikation>
    <BD_GDPR_OfficeDocumentDate xmlns="f6c75089-c181-4531-af5e-b9c5706b6804" xsi:nil="true"/>
    <TaxCatchAll xmlns="d78d52d3-3c37-43f6-bd33-41345c71cbbe">
      <Value>2</Value>
    </TaxCatchAll>
    <BD_GDPR_Indsigtsret xmlns="0668eec2-730b-4fc1-a9bc-8229da4f5e8e">false</BD_GDPR_Indsigtsret>
    <a136a5d333f346b292da0ca360edfdb6 xmlns="d78d52d3-3c37-43f6-bd33-41345c71cbbe">
      <Terms xmlns="http://schemas.microsoft.com/office/infopath/2007/PartnerControls">
        <TermInfo xmlns="http://schemas.microsoft.com/office/infopath/2007/PartnerControls">
          <TermName xmlns="http://schemas.microsoft.com/office/infopath/2007/PartnerControls">Løbende år + 5 år</TermName>
          <TermId xmlns="http://schemas.microsoft.com/office/infopath/2007/PartnerControls">8bba68fb-c1ce-4a18-88db-ce280b834c22</TermId>
        </TermInfo>
      </Terms>
    </a136a5d333f346b292da0ca360edfdb6>
    <_dlc_DocId xmlns="d78d52d3-3c37-43f6-bd33-41345c71cbbe">EP4JEAYJT7AU-894345469-97848</_dlc_DocId>
    <_dlc_DocIdUrl xmlns="d78d52d3-3c37-43f6-bd33-41345c71cbbe">
      <Url>https://intranet.nordfynsbank.bdpnet.dk/gdpr/_layouts/15/DocIdRedir.aspx?ID=EP4JEAYJT7AU-894345469-97848</Url>
      <Description>EP4JEAYJT7AU-894345469-97848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630D75-35D7-4ABD-8D8E-41C886A63988}">
  <ds:schemaRefs>
    <ds:schemaRef ds:uri="http://schemas.microsoft.com/sharepoint/events"/>
  </ds:schemaRefs>
</ds:datastoreItem>
</file>

<file path=customXml/itemProps2.xml><?xml version="1.0" encoding="utf-8"?>
<ds:datastoreItem xmlns:ds="http://schemas.openxmlformats.org/officeDocument/2006/customXml" ds:itemID="{7900EC8F-1FC9-416D-ADD7-AA78DF4195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d52d3-3c37-43f6-bd33-41345c71cbbe"/>
    <ds:schemaRef ds:uri="0668eec2-730b-4fc1-a9bc-8229da4f5e8e"/>
    <ds:schemaRef ds:uri="f6c75089-c181-4531-af5e-b9c5706b6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074AEB-B562-496A-9DE7-022F60A9D874}">
  <ds:schemaRefs>
    <ds:schemaRef ds:uri="http://purl.org/dc/terms/"/>
    <ds:schemaRef ds:uri="http://www.w3.org/XML/1998/namespace"/>
    <ds:schemaRef ds:uri="0668eec2-730b-4fc1-a9bc-8229da4f5e8e"/>
    <ds:schemaRef ds:uri="http://purl.org/dc/elements/1.1/"/>
    <ds:schemaRef ds:uri="http://purl.org/dc/dcmitype/"/>
    <ds:schemaRef ds:uri="http://schemas.microsoft.com/office/2006/documentManagement/types"/>
    <ds:schemaRef ds:uri="f6c75089-c181-4531-af5e-b9c5706b6804"/>
    <ds:schemaRef ds:uri="http://schemas.microsoft.com/office/2006/metadata/properties"/>
    <ds:schemaRef ds:uri="d78d52d3-3c37-43f6-bd33-41345c71cbb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B87F5B82-DDA6-4920-BAB9-8502A3AD46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27</vt:i4>
      </vt:variant>
      <vt:variant>
        <vt:lpstr>Navngivne områder</vt:lpstr>
      </vt:variant>
      <vt:variant>
        <vt:i4>10</vt:i4>
      </vt:variant>
    </vt:vector>
  </HeadingPairs>
  <TitlesOfParts>
    <vt:vector size="37" baseType="lpstr">
      <vt:lpstr>Oplysninger</vt:lpstr>
      <vt:lpstr>Overblik</vt:lpstr>
      <vt:lpstr>EU OV1</vt:lpstr>
      <vt:lpstr>EU KM1</vt:lpstr>
      <vt:lpstr>Skema EU LI1 </vt:lpstr>
      <vt:lpstr>Skema EU LI2</vt:lpstr>
      <vt:lpstr>Skema EU LI3</vt:lpstr>
      <vt:lpstr>Skema EU CC1</vt:lpstr>
      <vt:lpstr>EU CCyB1</vt:lpstr>
      <vt:lpstr>EU CCyB2</vt:lpstr>
      <vt:lpstr>EU LR1 - LRSum</vt:lpstr>
      <vt:lpstr>EU LR2 - LRCom</vt:lpstr>
      <vt:lpstr>EU LR3 - LRSpl</vt:lpstr>
      <vt:lpstr>EU LIQ1</vt:lpstr>
      <vt:lpstr>EU LIQ2</vt:lpstr>
      <vt:lpstr>Skema EU CR1</vt:lpstr>
      <vt:lpstr>Skema EU CR1-A</vt:lpstr>
      <vt:lpstr>Skema EU CQ3</vt:lpstr>
      <vt:lpstr>Skema EU CQ5</vt:lpstr>
      <vt:lpstr>EU CR3</vt:lpstr>
      <vt:lpstr>EU CR4</vt:lpstr>
      <vt:lpstr>EU CR5</vt:lpstr>
      <vt:lpstr>EU MR1</vt:lpstr>
      <vt:lpstr>Skema EU OR1</vt:lpstr>
      <vt:lpstr>REM1</vt:lpstr>
      <vt:lpstr>REM5</vt:lpstr>
      <vt:lpstr>Skema EU AE1</vt:lpstr>
      <vt:lpstr>'EU MR1'!_ftn1</vt:lpstr>
      <vt:lpstr>'EU MR1'!_ftnref1</vt:lpstr>
      <vt:lpstr>'Skema EU LI1 '!_Toc483499698</vt:lpstr>
      <vt:lpstr>'EU CR3'!Udskriftsområde</vt:lpstr>
      <vt:lpstr>'EU LR1 - LRSum'!Udskriftsområde</vt:lpstr>
      <vt:lpstr>'EU LR2 - LRCom'!Udskriftsområde</vt:lpstr>
      <vt:lpstr>'EU LR3 - LRSpl'!Udskriftsområde</vt:lpstr>
      <vt:lpstr>'Skema EU CC1'!Udskriftsområde</vt:lpstr>
      <vt:lpstr>'Skema EU LI1 '!Udskriftsområde</vt:lpstr>
      <vt:lpstr>'Skema EU CC1'!Udskriftstitler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Kvantitative risikooplysninger 2021 (søjle III)</dc:title>
  <dc:creator>Anette Langkilde-Lauesen</dc:creator>
  <cp:lastModifiedBy>Anette Langkilde-Lauesen</cp:lastModifiedBy>
  <cp:lastPrinted>2022-02-22T12:37:13Z</cp:lastPrinted>
  <dcterms:created xsi:type="dcterms:W3CDTF">2022-02-14T10:13:46Z</dcterms:created>
  <dcterms:modified xsi:type="dcterms:W3CDTF">2023-02-23T15:52:54Z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0x010100EA22E0D6A1D0534EBC7F181E32C2C501009281A8FBAC6A754687E8BC24AB4F1F11</vt:lpwstr>
  </property>
  <property fmtid="{D5CDD505-2E9C-101B-9397-08002B2CF9AE}" pid="3" name="_dlc_DocIdItemGuid">
    <vt:lpwstr>e8158497-da8f-4fba-9229-c615509550b4</vt:lpwstr>
  </property>
  <property fmtid="{D5CDD505-2E9C-101B-9397-08002B2CF9AE}" pid="4" name="BD-GDPR-SletteKategori">
    <vt:lpwstr>2;#Løbende år + 5 år|8bba68fb-c1ce-4a18-88db-ce280b834c22</vt:lpwstr>
  </property>
</Properties>
</file>