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ntranet.nordfynsbank.bdpnet.dk/gdpr/Dokumenter/Stabe/Finansafdeling/Regnskab og indberetninger/Årsrapport/Årsregnskab 2022/Søjle III oplysninger/"/>
    </mc:Choice>
  </mc:AlternateContent>
  <xr:revisionPtr revIDLastSave="0" documentId="13_ncr:1_{003A13F4-AC2A-4FA1-9C66-2E159C0A3174}" xr6:coauthVersionLast="47" xr6:coauthVersionMax="47" xr10:uidLastSave="{00000000-0000-0000-0000-000000000000}"/>
  <bookViews>
    <workbookView xWindow="-120" yWindow="-120" windowWidth="51840" windowHeight="21240" xr2:uid="{66919311-5E58-4668-BF27-C13C3CF0779C}"/>
  </bookViews>
  <sheets>
    <sheet name="Oplysninger" sheetId="83" r:id="rId1"/>
    <sheet name="Overblik" sheetId="6" r:id="rId2"/>
    <sheet name="EU OV1" sheetId="1" r:id="rId3"/>
    <sheet name="EU KM1" sheetId="2" r:id="rId4"/>
    <sheet name="Skema EU LI1 " sheetId="8" r:id="rId5"/>
    <sheet name="Skema EU LI2" sheetId="9" r:id="rId6"/>
    <sheet name="Skema EU LI3" sheetId="10" r:id="rId7"/>
    <sheet name="Skema EU CC1" sheetId="15" r:id="rId8"/>
    <sheet name="EU CCyB1" sheetId="19" r:id="rId9"/>
    <sheet name="EU CCyB2" sheetId="20" r:id="rId10"/>
    <sheet name="EU LR1 - LRSum" sheetId="22" r:id="rId11"/>
    <sheet name="EU LR2 - LRCom" sheetId="23" r:id="rId12"/>
    <sheet name="EU LR3 - LRSpl" sheetId="24" r:id="rId13"/>
    <sheet name="EU LIQ1" sheetId="28" r:id="rId14"/>
    <sheet name="EU LIQ2" sheetId="30" r:id="rId15"/>
    <sheet name="Skema EU CR1" sheetId="34" r:id="rId16"/>
    <sheet name="Skema EU CR1-A" sheetId="35" r:id="rId17"/>
    <sheet name="Skema EU CQ3" sheetId="40" r:id="rId18"/>
    <sheet name="Skema EU CQ5" sheetId="42" r:id="rId19"/>
    <sheet name="EU CR3" sheetId="48" r:id="rId20"/>
    <sheet name="EU CR4" sheetId="51" r:id="rId21"/>
    <sheet name="EU CR5" sheetId="52" r:id="rId22"/>
    <sheet name="EU MR1" sheetId="65" r:id="rId23"/>
    <sheet name="Skema EU OR1" sheetId="73" r:id="rId24"/>
    <sheet name="REM1" sheetId="76" r:id="rId25"/>
    <sheet name="REM5" sheetId="80" r:id="rId26"/>
    <sheet name="Skema EU AE1" sheetId="82" r:id="rId27"/>
  </sheets>
  <definedNames>
    <definedName name="_ftn1" localSheetId="22">'EU MR1'!$G$13</definedName>
    <definedName name="_ftnref1" localSheetId="22">'EU MR1'!$G$10</definedName>
    <definedName name="_Toc483499698" localSheetId="4">'Skema EU LI1 '!$C$3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9">'EU CR3'!$B$1:$K$21</definedName>
    <definedName name="_xlnm.Print_Area" localSheetId="10">'EU LR1 - LRSum'!$B$2:$D$21</definedName>
    <definedName name="_xlnm.Print_Area" localSheetId="11">'EU LR2 - LRCom'!$B$2:$E$72</definedName>
    <definedName name="_xlnm.Print_Area" localSheetId="12">'EU LR3 - LRSpl'!$B$2:$D$17</definedName>
    <definedName name="_xlnm.Print_Area" localSheetId="7">'Skema EU CC1'!$B$7:$E$127</definedName>
    <definedName name="_xlnm.Print_Area" localSheetId="4">'Skema EU LI1 '!$B$3:$J$27</definedName>
    <definedName name="_xlnm.Print_Titles" localSheetId="7">'Skema EU CC1'!$7:$7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9" l="1"/>
  <c r="I11" i="19"/>
  <c r="E11" i="19" l="1"/>
  <c r="C33" i="19" l="1"/>
  <c r="C34" i="19" s="1"/>
  <c r="P16" i="34"/>
  <c r="D12" i="23"/>
  <c r="D8" i="23"/>
  <c r="E51" i="23"/>
  <c r="E39" i="23" l="1"/>
  <c r="E26" i="23"/>
  <c r="E14" i="23"/>
  <c r="E59" i="23"/>
  <c r="D37" i="23"/>
  <c r="D36" i="23"/>
  <c r="D39" i="23"/>
  <c r="D13" i="23"/>
  <c r="D20" i="22"/>
  <c r="E54" i="23" l="1"/>
  <c r="E56" i="23" s="1"/>
  <c r="E57" i="23" s="1"/>
  <c r="E58" i="23" s="1"/>
  <c r="E69" i="23" l="1"/>
  <c r="E71" i="23"/>
  <c r="E72" i="23" s="1"/>
  <c r="E70" i="23"/>
  <c r="D14" i="22" l="1"/>
  <c r="D103" i="15" l="1"/>
  <c r="D98" i="15"/>
  <c r="G15" i="82" l="1"/>
  <c r="I27" i="76" l="1"/>
  <c r="I7" i="76"/>
  <c r="I6" i="76"/>
  <c r="I5" i="76"/>
  <c r="G12" i="80"/>
  <c r="I12" i="80"/>
  <c r="J12" i="80"/>
  <c r="J10" i="80"/>
  <c r="E7" i="80" l="1"/>
  <c r="G21" i="51"/>
  <c r="E21" i="51"/>
  <c r="C21" i="51"/>
  <c r="H8" i="51" l="1"/>
  <c r="H27" i="42"/>
  <c r="H20" i="42"/>
  <c r="H14" i="42"/>
  <c r="H9" i="42"/>
  <c r="E27" i="42"/>
  <c r="E14" i="42"/>
  <c r="D27" i="42"/>
  <c r="D20" i="42"/>
  <c r="D14" i="42"/>
  <c r="D9" i="42"/>
  <c r="J14" i="34"/>
  <c r="F11" i="48"/>
  <c r="G31" i="30" l="1"/>
  <c r="G14" i="34"/>
  <c r="N23" i="34"/>
  <c r="M23" i="34"/>
  <c r="K23" i="34"/>
  <c r="J23" i="34"/>
  <c r="Q9" i="34"/>
  <c r="P9" i="34"/>
  <c r="N9" i="34"/>
  <c r="M9" i="34"/>
  <c r="K9" i="34"/>
  <c r="J9" i="34"/>
  <c r="H9" i="34"/>
  <c r="G9" i="34"/>
  <c r="H23" i="34"/>
  <c r="G23" i="34"/>
  <c r="E23" i="34"/>
  <c r="P30" i="34" l="1"/>
  <c r="O30" i="34"/>
  <c r="N30" i="34"/>
  <c r="M30" i="34"/>
  <c r="K30" i="34"/>
  <c r="J30" i="34"/>
  <c r="H30" i="34"/>
  <c r="G30" i="34"/>
  <c r="E30" i="34" l="1"/>
  <c r="D23" i="34"/>
  <c r="D9" i="34"/>
  <c r="D30" i="34" s="1"/>
  <c r="L29" i="34"/>
  <c r="L28" i="34"/>
  <c r="L27" i="34"/>
  <c r="L26" i="34"/>
  <c r="L25" i="34"/>
  <c r="L24" i="34"/>
  <c r="L23" i="34"/>
  <c r="L22" i="34"/>
  <c r="L21" i="34"/>
  <c r="L20" i="34"/>
  <c r="L19" i="34"/>
  <c r="L18" i="34"/>
  <c r="L17" i="34"/>
  <c r="L16" i="34"/>
  <c r="L15" i="34"/>
  <c r="L14" i="34"/>
  <c r="L13" i="34"/>
  <c r="L12" i="34"/>
  <c r="L11" i="34"/>
  <c r="L10" i="34"/>
  <c r="L9" i="34"/>
  <c r="L8" i="34"/>
  <c r="I29" i="34"/>
  <c r="I28" i="34"/>
  <c r="I27" i="34"/>
  <c r="I26" i="34"/>
  <c r="I25" i="34"/>
  <c r="I24" i="34"/>
  <c r="I23" i="34"/>
  <c r="I22" i="34"/>
  <c r="I21" i="34"/>
  <c r="I20" i="34"/>
  <c r="I19" i="34"/>
  <c r="I18" i="34"/>
  <c r="I17" i="34"/>
  <c r="I16" i="34"/>
  <c r="I15" i="34"/>
  <c r="I14" i="34"/>
  <c r="I13" i="34"/>
  <c r="I12" i="34"/>
  <c r="I11" i="34"/>
  <c r="I10" i="34"/>
  <c r="I9" i="34"/>
  <c r="I30" i="34" s="1"/>
  <c r="I8" i="34"/>
  <c r="F29" i="34"/>
  <c r="F28" i="34"/>
  <c r="F27" i="34"/>
  <c r="F26" i="34"/>
  <c r="F25" i="34"/>
  <c r="F24" i="34"/>
  <c r="F23" i="34"/>
  <c r="F22" i="34"/>
  <c r="F21" i="34"/>
  <c r="F20" i="34"/>
  <c r="F19" i="34"/>
  <c r="F18" i="34"/>
  <c r="F17" i="34"/>
  <c r="F16" i="34"/>
  <c r="F15" i="34"/>
  <c r="F14" i="34"/>
  <c r="F13" i="34"/>
  <c r="F12" i="34"/>
  <c r="F11" i="34"/>
  <c r="F10" i="34"/>
  <c r="F9" i="34"/>
  <c r="F8" i="34"/>
  <c r="C29" i="34"/>
  <c r="C28" i="34"/>
  <c r="C27" i="34"/>
  <c r="C26" i="34"/>
  <c r="C25" i="34"/>
  <c r="C24" i="34"/>
  <c r="C23" i="34"/>
  <c r="C22" i="34"/>
  <c r="C21" i="34"/>
  <c r="C20" i="34"/>
  <c r="C19" i="34"/>
  <c r="C18" i="34"/>
  <c r="C17" i="34"/>
  <c r="C16" i="34"/>
  <c r="C15" i="34"/>
  <c r="C14" i="34"/>
  <c r="C13" i="34"/>
  <c r="C12" i="34"/>
  <c r="C11" i="34"/>
  <c r="C10" i="34"/>
  <c r="C8" i="34"/>
  <c r="L30" i="34" l="1"/>
  <c r="F30" i="34"/>
  <c r="C9" i="34"/>
  <c r="C30" i="34" s="1"/>
  <c r="D11" i="9" l="1"/>
  <c r="J16" i="8"/>
  <c r="F17" i="8"/>
  <c r="F11" i="8"/>
  <c r="J14" i="8"/>
  <c r="I14" i="8" s="1"/>
  <c r="J12" i="8"/>
  <c r="F12" i="8" s="1"/>
  <c r="F14" i="8"/>
  <c r="D24" i="8" l="1"/>
  <c r="D17" i="8"/>
  <c r="D90" i="15"/>
  <c r="D12" i="80"/>
  <c r="C12" i="80"/>
  <c r="D10" i="80"/>
  <c r="C10" i="80"/>
  <c r="D7" i="80"/>
  <c r="C7" i="80"/>
  <c r="H27" i="30" l="1"/>
  <c r="H43" i="30" s="1"/>
  <c r="G27" i="30"/>
  <c r="F27" i="30"/>
  <c r="E27" i="30"/>
  <c r="G34" i="30"/>
  <c r="D10" i="30"/>
  <c r="H10" i="30"/>
  <c r="K24" i="28" l="1"/>
  <c r="G24" i="28"/>
  <c r="J45" i="28"/>
  <c r="J24" i="28"/>
  <c r="F24" i="28"/>
  <c r="I46" i="28"/>
  <c r="K45" i="28"/>
  <c r="J46" i="28"/>
  <c r="I45" i="28"/>
  <c r="K44" i="28"/>
  <c r="J44" i="28"/>
  <c r="I44" i="28"/>
  <c r="E36" i="28"/>
  <c r="I36" i="28"/>
  <c r="I25" i="28"/>
  <c r="I24" i="28"/>
  <c r="E24" i="28"/>
  <c r="H46" i="28"/>
  <c r="H45" i="28"/>
  <c r="H44" i="28"/>
  <c r="K41" i="28"/>
  <c r="J41" i="28"/>
  <c r="I41" i="28"/>
  <c r="H41" i="28"/>
  <c r="G41" i="28"/>
  <c r="F41" i="28"/>
  <c r="E41" i="28"/>
  <c r="D41" i="28"/>
  <c r="K36" i="28"/>
  <c r="J36" i="28"/>
  <c r="H36" i="28"/>
  <c r="G36" i="28"/>
  <c r="F36" i="28"/>
  <c r="D36" i="28"/>
  <c r="H25" i="28"/>
  <c r="H24" i="28"/>
  <c r="D24" i="28"/>
  <c r="D8" i="24"/>
  <c r="K46" i="28" l="1"/>
  <c r="D21" i="22"/>
  <c r="D14" i="15" l="1"/>
  <c r="D13" i="15" l="1"/>
  <c r="D19" i="15" s="1"/>
  <c r="E47" i="2" l="1"/>
  <c r="D47" i="2"/>
  <c r="D29" i="2" l="1"/>
  <c r="D30" i="2" s="1"/>
  <c r="E30" i="2" l="1"/>
  <c r="D31" i="1" l="1"/>
  <c r="D36" i="1" l="1"/>
  <c r="D8" i="1"/>
  <c r="D44" i="1" s="1"/>
  <c r="D7" i="20" l="1"/>
  <c r="D93" i="15"/>
  <c r="D12" i="2"/>
  <c r="E31" i="1"/>
  <c r="E8" i="1"/>
  <c r="E9" i="1" s="1"/>
  <c r="H31" i="30" l="1"/>
  <c r="M13" i="19" l="1"/>
  <c r="I13" i="19"/>
  <c r="J13" i="19"/>
  <c r="E13" i="19"/>
  <c r="C13" i="19"/>
  <c r="H11" i="19"/>
  <c r="H13" i="19" s="1"/>
  <c r="F16" i="2"/>
  <c r="F15" i="2"/>
  <c r="F14" i="2"/>
  <c r="E16" i="2"/>
  <c r="E15" i="2"/>
  <c r="E14" i="2"/>
  <c r="D16" i="2"/>
  <c r="D15" i="2"/>
  <c r="D14" i="2"/>
  <c r="L11" i="19" l="1"/>
  <c r="L13" i="19" s="1"/>
  <c r="E20" i="2"/>
  <c r="E19" i="2"/>
  <c r="D20" i="2"/>
  <c r="D19" i="2"/>
  <c r="H9" i="82" l="1"/>
  <c r="I9" i="82" s="1"/>
  <c r="J9" i="82" s="1"/>
  <c r="E12" i="80" l="1"/>
  <c r="E10" i="80"/>
  <c r="R23" i="52"/>
  <c r="R22" i="52"/>
  <c r="R21" i="52"/>
  <c r="R20" i="52"/>
  <c r="R19" i="52"/>
  <c r="R18" i="52"/>
  <c r="R17" i="52"/>
  <c r="R16" i="52"/>
  <c r="R15" i="52"/>
  <c r="R14" i="52"/>
  <c r="R13" i="52"/>
  <c r="R12" i="52"/>
  <c r="R11" i="52"/>
  <c r="R10" i="52"/>
  <c r="R9" i="52"/>
  <c r="R8" i="52"/>
  <c r="Q24" i="52"/>
  <c r="P24" i="52"/>
  <c r="O24" i="52"/>
  <c r="N24" i="52"/>
  <c r="M24" i="52"/>
  <c r="L24" i="52"/>
  <c r="K24" i="52"/>
  <c r="J24" i="52"/>
  <c r="I24" i="52"/>
  <c r="H24" i="52"/>
  <c r="G24" i="52"/>
  <c r="F24" i="52"/>
  <c r="E24" i="52"/>
  <c r="D24" i="52"/>
  <c r="C24" i="52"/>
  <c r="H22" i="51"/>
  <c r="H21" i="51"/>
  <c r="H16" i="51"/>
  <c r="H15" i="51"/>
  <c r="H14" i="51"/>
  <c r="H13" i="51"/>
  <c r="H12" i="51"/>
  <c r="H9" i="51"/>
  <c r="H7" i="51"/>
  <c r="F23" i="51"/>
  <c r="E23" i="51"/>
  <c r="D23" i="51"/>
  <c r="C23" i="51"/>
  <c r="G23" i="51"/>
  <c r="F13" i="48"/>
  <c r="E13" i="48"/>
  <c r="D13" i="48"/>
  <c r="H23" i="51" l="1"/>
  <c r="R24" i="52"/>
  <c r="H28" i="42"/>
  <c r="G12" i="42" l="1"/>
  <c r="G27" i="42"/>
  <c r="G21" i="42"/>
  <c r="G20" i="42"/>
  <c r="G18" i="42"/>
  <c r="G17" i="42"/>
  <c r="G16" i="42"/>
  <c r="G15" i="42"/>
  <c r="G14" i="42"/>
  <c r="G11" i="42"/>
  <c r="G9" i="42"/>
  <c r="F27" i="42"/>
  <c r="F20" i="42"/>
  <c r="F18" i="42"/>
  <c r="F17" i="42"/>
  <c r="F16" i="42"/>
  <c r="F15" i="42"/>
  <c r="F14" i="42"/>
  <c r="F11" i="42"/>
  <c r="F9" i="42"/>
  <c r="E28" i="42"/>
  <c r="D28" i="42"/>
  <c r="F28" i="42" l="1"/>
  <c r="G28" i="42"/>
  <c r="H9" i="35"/>
  <c r="G9" i="35"/>
  <c r="F9" i="35"/>
  <c r="E9" i="35"/>
  <c r="D9" i="35"/>
  <c r="I7" i="35"/>
  <c r="I9" i="35" s="1"/>
  <c r="C14" i="65" l="1"/>
  <c r="D63" i="23" l="1"/>
  <c r="D41" i="23"/>
  <c r="D51" i="23" s="1"/>
  <c r="D26" i="23"/>
  <c r="D14" i="23" l="1"/>
  <c r="D54" i="23" s="1"/>
  <c r="D6" i="24"/>
  <c r="D56" i="23" l="1"/>
  <c r="D57" i="23"/>
  <c r="D58" i="23" s="1"/>
  <c r="D71" i="23"/>
  <c r="D72" i="23" s="1"/>
  <c r="D70" i="23"/>
  <c r="D69" i="23"/>
  <c r="D49" i="15"/>
  <c r="D50" i="15" s="1"/>
  <c r="D70" i="15"/>
  <c r="D80" i="15"/>
  <c r="D91" i="15" s="1"/>
  <c r="H19" i="9"/>
  <c r="G19" i="9"/>
  <c r="F19" i="9"/>
  <c r="D19" i="9"/>
  <c r="F10" i="9"/>
  <c r="E11" i="9"/>
  <c r="E19" i="9" s="1"/>
  <c r="D95" i="15" l="1"/>
  <c r="D104" i="15" s="1"/>
  <c r="D71" i="15"/>
  <c r="D92" i="15" s="1"/>
  <c r="D97" i="15" s="1"/>
  <c r="D96" i="15"/>
  <c r="G18" i="8"/>
  <c r="G8" i="9" s="1"/>
  <c r="G10" i="9" s="1"/>
  <c r="J18" i="8"/>
  <c r="E44" i="1" l="1"/>
  <c r="F36" i="1"/>
  <c r="F31" i="1"/>
  <c r="F8" i="1"/>
  <c r="D9" i="1"/>
  <c r="F9" i="1" s="1"/>
  <c r="F44" i="1" l="1"/>
  <c r="H36" i="30"/>
  <c r="G36" i="30"/>
  <c r="F36" i="30"/>
  <c r="E36" i="30"/>
  <c r="F9" i="30"/>
  <c r="E9" i="30"/>
  <c r="D9" i="30"/>
  <c r="G9" i="30"/>
  <c r="H9" i="30"/>
  <c r="H22" i="30" s="1"/>
  <c r="F19" i="30"/>
  <c r="G15" i="30"/>
  <c r="F15" i="30"/>
  <c r="H44" i="30" l="1"/>
  <c r="F15" i="8"/>
  <c r="F10" i="8"/>
  <c r="I13" i="8"/>
  <c r="J26" i="8"/>
  <c r="J25" i="8"/>
  <c r="J23" i="8"/>
  <c r="J22" i="8"/>
  <c r="J21" i="8"/>
  <c r="D27" i="8"/>
  <c r="D18" i="8"/>
  <c r="D8" i="9" s="1"/>
  <c r="J27" i="8" l="1"/>
  <c r="D9" i="9"/>
  <c r="D10" i="9" s="1"/>
  <c r="I18" i="8"/>
  <c r="H8" i="9" s="1"/>
  <c r="H10" i="9" s="1"/>
  <c r="F18" i="8"/>
  <c r="E8" i="9" s="1"/>
  <c r="E10" i="9" s="1"/>
  <c r="J24" i="8"/>
  <c r="E51" i="2"/>
  <c r="D51" i="2" l="1"/>
  <c r="I46" i="2" l="1"/>
</calcChain>
</file>

<file path=xl/sharedStrings.xml><?xml version="1.0" encoding="utf-8"?>
<sst xmlns="http://schemas.openxmlformats.org/spreadsheetml/2006/main" count="1262" uniqueCount="921">
  <si>
    <t>Skema EU OV1 – Oversigt over samlede risikoeksponeringer</t>
  </si>
  <si>
    <t>Samlede risikoeksponeringer (TREA)</t>
  </si>
  <si>
    <t>a</t>
  </si>
  <si>
    <t>b</t>
  </si>
  <si>
    <t>c</t>
  </si>
  <si>
    <t>Kreditrisiko (undtagen modpartskreditrisiko)</t>
  </si>
  <si>
    <t xml:space="preserve">Heraf i henhold til standardmetoden </t>
  </si>
  <si>
    <t xml:space="preserve">Heraf i henhold til den grundlæggende IRB-metode (Foundation IRB, F-IRB) </t>
  </si>
  <si>
    <t>Heraf i henhold til kategoriseringsmetoden</t>
  </si>
  <si>
    <t>EU 4a</t>
  </si>
  <si>
    <t>Heraf: aktier i henhold til den forenklede risikovægtningsmetode</t>
  </si>
  <si>
    <t xml:space="preserve">Heraf i henhold til den avancerede IRB-metode (Advanced IRB, A-IRB) </t>
  </si>
  <si>
    <t xml:space="preserve">Modpartskreditrisiko — CCR </t>
  </si>
  <si>
    <t>Heraf i henhold til metoden med interne modeller (IMM)</t>
  </si>
  <si>
    <t>EU 8a</t>
  </si>
  <si>
    <t>Heraf eksponeringer mod en CCP</t>
  </si>
  <si>
    <t>EU 8b</t>
  </si>
  <si>
    <t>Heraf kreditværdijustering — CVA</t>
  </si>
  <si>
    <t>Heraf anden modpartskreditrisiko</t>
  </si>
  <si>
    <t>Ikke relevant</t>
  </si>
  <si>
    <t xml:space="preserve">Afviklingsrisiko </t>
  </si>
  <si>
    <t>Securitiseringseksponeringer uden for handelsbeholdningen (efter loftet)</t>
  </si>
  <si>
    <t xml:space="preserve">Heraf i henhold til SEC-IRBA-metoden </t>
  </si>
  <si>
    <t>Heraf i henhold til SEC-ERBA (undtagen IAA)</t>
  </si>
  <si>
    <t xml:space="preserve">Heraf i henhold til SEC-SA-metoden </t>
  </si>
  <si>
    <t>EU 19a</t>
  </si>
  <si>
    <t>Heraf 1 250 % / fradrag</t>
  </si>
  <si>
    <t>Positionsrisiko, valutarisiko og råvarerisiko (markedsrisiko)</t>
  </si>
  <si>
    <t xml:space="preserve">Heraf i henhold til metoden med interne modeller </t>
  </si>
  <si>
    <t>EU 22a</t>
  </si>
  <si>
    <t>Store eksponeringer</t>
  </si>
  <si>
    <t xml:space="preserve">Operationel risiko </t>
  </si>
  <si>
    <t>EU 23a</t>
  </si>
  <si>
    <t xml:space="preserve">Heraf i henhold til basisindikatormetoden </t>
  </si>
  <si>
    <t>EU 23b</t>
  </si>
  <si>
    <t>EU 23c</t>
  </si>
  <si>
    <t xml:space="preserve">Heraf i henhold til den avancerede målemetode </t>
  </si>
  <si>
    <t>Beløb under tærsklerne for fradrag (omfattet
af en risikovægt på 250 %)</t>
  </si>
  <si>
    <t>I alt</t>
  </si>
  <si>
    <t>NSFR (%)</t>
  </si>
  <si>
    <t>Krævet stabil finansiering i alt</t>
  </si>
  <si>
    <t>Tilgængelig stabil finansiering i alt</t>
  </si>
  <si>
    <t>Net stable funding ratio</t>
  </si>
  <si>
    <t>Likviditetsdækningsgrad (%)</t>
  </si>
  <si>
    <t>Nettopengestrømme i alt (justeret værdi)</t>
  </si>
  <si>
    <t xml:space="preserve">Indgående pengestrømme — Samlet vægtet værdi </t>
  </si>
  <si>
    <t>EU 16b</t>
  </si>
  <si>
    <t xml:space="preserve">Udgående pengestrømme — Samlet vægtet værdi </t>
  </si>
  <si>
    <t>EU 16a</t>
  </si>
  <si>
    <t>Likvide aktiver af høj kvalitet (HQLA) i alt (vægtet værdi — gennemsnit)</t>
  </si>
  <si>
    <t>Likviditetsdækningsgrad</t>
  </si>
  <si>
    <t>Sammenlagt gearingsgradkrav (%)</t>
  </si>
  <si>
    <t>EU 14e</t>
  </si>
  <si>
    <t>Krav vedrørende gearingsgradbuffer (%)</t>
  </si>
  <si>
    <t>EU 14d</t>
  </si>
  <si>
    <t>Gearingsgradbuffer og sammenlagt gearingsgradkrav (som en procentdel af det samlede eksponeringsmål)</t>
  </si>
  <si>
    <t>Samlede SREP-gearingsgradkrav (%)</t>
  </si>
  <si>
    <t>EU 14c</t>
  </si>
  <si>
    <t xml:space="preserve">     heraf: i form af egentlig kernekapital (procentpoint)</t>
  </si>
  <si>
    <t>EU 14b</t>
  </si>
  <si>
    <t xml:space="preserve">Krav om yderligere kapitalgrundlag til at tage højde for risikoen for overdreven gearing (%) </t>
  </si>
  <si>
    <t>EU 14a</t>
  </si>
  <si>
    <r>
      <rPr>
        <b/>
        <sz val="11"/>
        <color theme="1"/>
        <rFont val="Calibri"/>
        <family val="2"/>
        <scheme val="minor"/>
      </rPr>
      <t>Krav om yderligere kapitalgrundlag til at tage højde for risikoen for overdreven gearing (som en procentdel af det samlede eksponeringsmål)</t>
    </r>
  </si>
  <si>
    <t>Gearingsgrad (%)</t>
  </si>
  <si>
    <t>Samlet eksponeringsmål</t>
  </si>
  <si>
    <t>Gearingsgrad</t>
  </si>
  <si>
    <t>Tilgængelig egentlig kernekapital efter opfyldelse af samlede SREP-kapitalgrundlagskrav (%)</t>
  </si>
  <si>
    <t>Sammenlagte kapitalkrav (%)</t>
  </si>
  <si>
    <t>EU 11a</t>
  </si>
  <si>
    <t>Kombineret bufferkrav (%)</t>
  </si>
  <si>
    <t>Buffer for andre systemisk vigtige institutter (%)</t>
  </si>
  <si>
    <t>EU 10a</t>
  </si>
  <si>
    <t>Buffer for globale systemisk vigtige institutter (%)</t>
  </si>
  <si>
    <t>Systemisk risikobuffer (%)</t>
  </si>
  <si>
    <t>EU 9a</t>
  </si>
  <si>
    <t>Institutspecifik kontracyklisk kapitalbuffer (%)</t>
  </si>
  <si>
    <t>Bevaringsbuffer som følge af makroprudentiel eller systemisk risiko identificeret på medlemsstatsniveau (%)</t>
  </si>
  <si>
    <t>Kapitalbevaringsbuffer (%)</t>
  </si>
  <si>
    <t>Kombineret bufferkrav og sammenlagt kapitalkrav (som en procentdel af den risikovægtede eksponering)</t>
  </si>
  <si>
    <t>Samlede SREP-kapitalgrundlagskrav (%)</t>
  </si>
  <si>
    <t>EU 7d</t>
  </si>
  <si>
    <t xml:space="preserve">     heraf: i form af kernekapital (procentpoint)</t>
  </si>
  <si>
    <t>EU 7c</t>
  </si>
  <si>
    <t>EU 7b</t>
  </si>
  <si>
    <r>
      <rPr>
        <sz val="11"/>
        <color theme="1"/>
        <rFont val="Calibri"/>
        <family val="2"/>
        <scheme val="minor"/>
      </rPr>
      <t>Krav om yderligere kapitalgrundlag til at tage højde for andre risici end risikoen for overdreven gearing (%)</t>
    </r>
    <r>
      <rPr>
        <sz val="11"/>
        <color rgb="FF000000"/>
        <rFont val="Calibri"/>
        <family val="2"/>
        <scheme val="minor"/>
      </rPr>
      <t xml:space="preserve"> </t>
    </r>
  </si>
  <si>
    <t>EU 7a</t>
  </si>
  <si>
    <t>Krav om yderligere kapitalgrundlag til at tage højde for andre risici end risikoen for overdreven gearing (som en procentdel af den risikovægtede eksponering)</t>
  </si>
  <si>
    <t>Kapitalprocent i alt (%)</t>
  </si>
  <si>
    <t>Kernekapitalprocent (%)</t>
  </si>
  <si>
    <r>
      <rPr>
        <sz val="11"/>
        <color theme="1"/>
        <rFont val="Calibri"/>
        <family val="2"/>
        <scheme val="minor"/>
      </rPr>
      <t>Egentlig kernekapitalprocent (%)</t>
    </r>
  </si>
  <si>
    <r>
      <rPr>
        <b/>
        <sz val="11"/>
        <color rgb="FF000000"/>
        <rFont val="Calibri"/>
        <family val="2"/>
        <scheme val="minor"/>
      </rPr>
      <t>Kapitalprocenter (som en procentdel af den risikovægtede eksponering)</t>
    </r>
  </si>
  <si>
    <t>Samlet risikoeksponering</t>
  </si>
  <si>
    <t>Risikovægtede eksponeringer</t>
  </si>
  <si>
    <t xml:space="preserve">Samlet kapital </t>
  </si>
  <si>
    <t xml:space="preserve">Kernekapital </t>
  </si>
  <si>
    <t xml:space="preserve">Egentlig kernekapital (CET1) </t>
  </si>
  <si>
    <t>Tilgængeligt kapitalgrundlag (beløb)</t>
  </si>
  <si>
    <t>T-4</t>
  </si>
  <si>
    <t>T-3</t>
  </si>
  <si>
    <t>e</t>
  </si>
  <si>
    <t>d</t>
  </si>
  <si>
    <t>Skema EU KM1 – Skema om væsentlige målekriterier</t>
  </si>
  <si>
    <t>Alle tal i t.kr pr. 31.12.2021</t>
  </si>
  <si>
    <t>Kapitalgrundlag</t>
  </si>
  <si>
    <t>Efter indregning af årets resulat, men havd med pr. 30/6?</t>
  </si>
  <si>
    <t>LCR skema 72 row 010 c40. Gennemsnit?</t>
  </si>
  <si>
    <t>LCR skema 73 row 010 c060</t>
  </si>
  <si>
    <t>LCR skema 74 row 010 c140</t>
  </si>
  <si>
    <t>LCR skema 76</t>
  </si>
  <si>
    <t>NSFR skema 84 row 0010 c0020</t>
  </si>
  <si>
    <t>NSFR skema 84 row 120 c 0030</t>
  </si>
  <si>
    <t>Kan kun finde opgørelse før indregning af resultat</t>
  </si>
  <si>
    <t xml:space="preserve">Skema EU LI2 – Primære kilder til forskelle mellem de tilsynsmæssige eksponeringsbeløb og regnskabsmæssige værdier </t>
  </si>
  <si>
    <t xml:space="preserve">Skema EU LI3 – Skitsering af forskellene i konsolideringens omfang (enhed for enhed) </t>
  </si>
  <si>
    <t xml:space="preserve">Skema EU LI1 – Forskelle mellem de regnskabsmæssige rammer og rammerne for tilsynsmæssig konsolidering og sammenstilling af regnskabskategorierne og lovmæssigt fastsatte risikokategorier </t>
  </si>
  <si>
    <t>f</t>
  </si>
  <si>
    <t>g</t>
  </si>
  <si>
    <t xml:space="preserve"> </t>
  </si>
  <si>
    <t>Regnskabsmæssige værdier som indberettet i offentliggjorte regnskaber</t>
  </si>
  <si>
    <t>Regnskabsmæssige værdier inden for rammerne for tilsynsmæssig konsolidering</t>
  </si>
  <si>
    <t>Regnskabsmæssige værdier af poster</t>
  </si>
  <si>
    <t>omfattet af kreditrisikorammen</t>
  </si>
  <si>
    <t xml:space="preserve">omfattet af modpartskreditrisikorammen </t>
  </si>
  <si>
    <t>omfattet af securitiseringsrammen</t>
  </si>
  <si>
    <t>omfattet af markedsrisikorammen</t>
  </si>
  <si>
    <t>Ikke omfattet af kapitalgrundlagskrav eller omfattet af fradrag i kapitalgrundlag</t>
  </si>
  <si>
    <t>Opdeling efter aktivklasser i overensstemmelse med balancen i de offentliggjorte regnskaber</t>
  </si>
  <si>
    <t>xxx</t>
  </si>
  <si>
    <t xml:space="preserve">Aktiver i alt </t>
  </si>
  <si>
    <t>Opdeling efter passivklasser i overensstemmelse med balancen i de offentliggjorte regnskaber</t>
  </si>
  <si>
    <t>1</t>
  </si>
  <si>
    <t xml:space="preserve">Passiver i alt </t>
  </si>
  <si>
    <t xml:space="preserve">Poster omfattet af </t>
  </si>
  <si>
    <t>Regnskabsmæssig værdi af aktiver inden for rammerne for tilsynsmæssig konsolidering (jf. skema LI1)</t>
  </si>
  <si>
    <t>Regnskabsmæssig værdi af passiver inden for rammerne for tilsynsmæssig konsolidering (jf. skema LI1)</t>
  </si>
  <si>
    <t>Samlet nettobeløb inden for rammerne for tilsynsmæssig konsolidering</t>
  </si>
  <si>
    <t>Ikkebalanceførte beløb</t>
  </si>
  <si>
    <t xml:space="preserve">Forskelle i værdiansættelser </t>
  </si>
  <si>
    <t>Forskelle pga. forskellige nettingregler ud over dem, der allerede er inkluderet i række 2</t>
  </si>
  <si>
    <t>Forskelle pga. hensyntagen til bestemmelser</t>
  </si>
  <si>
    <t>Forskelle pga. anvendelse af kreditrisikoreduktionsteknikker (CRM)</t>
  </si>
  <si>
    <t>Forskelle pga. kreditkonverteringsfaktorer</t>
  </si>
  <si>
    <t>Forskelle pga. securitisering med risikooverførsel</t>
  </si>
  <si>
    <t>Andre forskelle</t>
  </si>
  <si>
    <t>Eksponeringer overvejet i tilsynsøjemed</t>
  </si>
  <si>
    <t>h</t>
  </si>
  <si>
    <t>Enhedens navn</t>
  </si>
  <si>
    <t>Metode for regnskabsmæssig konsolidering</t>
  </si>
  <si>
    <t>Metode for tilsynsmæssig konsolidering</t>
  </si>
  <si>
    <t>Beskrivelse af enheden</t>
  </si>
  <si>
    <t>Fuld konsolidering</t>
  </si>
  <si>
    <t>Proportional konsolidering</t>
  </si>
  <si>
    <t>Den indre værdis metode</t>
  </si>
  <si>
    <t>Hverken konsolideret eller fratrukket</t>
  </si>
  <si>
    <t>Fratrukket</t>
  </si>
  <si>
    <t>X</t>
  </si>
  <si>
    <t>Kassebeholdning og anfordringstilgodehavender hos centralbanker</t>
  </si>
  <si>
    <t>Tilgodehavender hos kreditinstitutter og centralbanker</t>
  </si>
  <si>
    <t>Udlån og andre tilgodehavender til amortiseret kostpris</t>
  </si>
  <si>
    <t>Obligationer til dagsværdi</t>
  </si>
  <si>
    <t>Aktier mv</t>
  </si>
  <si>
    <t>Oplyst på koncernniveau</t>
  </si>
  <si>
    <t>Kapitalandele i associerede virksomheder</t>
  </si>
  <si>
    <t>Aktiver tilknyttet puljeordning</t>
  </si>
  <si>
    <t>Andre aktiver</t>
  </si>
  <si>
    <t>4</t>
  </si>
  <si>
    <t>5</t>
  </si>
  <si>
    <t>6</t>
  </si>
  <si>
    <t>7</t>
  </si>
  <si>
    <t>8</t>
  </si>
  <si>
    <t>Indlån og anden gæld</t>
  </si>
  <si>
    <t>Indlån i puljeordningen</t>
  </si>
  <si>
    <t>Udstedte obligationer til amortiseret kostpris</t>
  </si>
  <si>
    <t>Andre passiver</t>
  </si>
  <si>
    <t>Efterstillet kapitalindskud</t>
  </si>
  <si>
    <t>Egenkapital i alt</t>
  </si>
  <si>
    <t>Nordfyns Finans A/S</t>
  </si>
  <si>
    <t>Leasing</t>
  </si>
  <si>
    <t>Skema EU CC1 — Sammensætning af lovpligtigt kapitalgrundlag</t>
  </si>
  <si>
    <t>Skema CC2 – Afstemning mellem lovbestemt kapitalgrundlag og balancen i de reviderede regnskaber</t>
  </si>
  <si>
    <t xml:space="preserve"> a)</t>
  </si>
  <si>
    <t xml:space="preserve">  b)</t>
  </si>
  <si>
    <t>Beløb</t>
  </si>
  <si>
    <r>
      <rPr>
        <b/>
        <sz val="11"/>
        <color theme="1"/>
        <rFont val="Calibri"/>
        <family val="2"/>
        <scheme val="minor"/>
      </rPr>
      <t>Kilde baseret på referencenumre/-bogstaver i balancen i henhold til den tilsynsmæssige ramme for konsolideringen</t>
    </r>
    <r>
      <rPr>
        <sz val="11"/>
        <color rgb="FF000000"/>
        <rFont val="Calibri"/>
        <family val="2"/>
        <scheme val="minor"/>
      </rPr>
      <t> </t>
    </r>
  </si>
  <si>
    <t xml:space="preserve">Egentlig kernekapital:  instrumenter og reserver                                             </t>
  </si>
  <si>
    <t xml:space="preserve">Kapitalinstrumenter og overkurs ved emission i tilknytning hertil </t>
  </si>
  <si>
    <t>h)</t>
  </si>
  <si>
    <t xml:space="preserve">     heraf: instrumenttype 1</t>
  </si>
  <si>
    <t xml:space="preserve">     heraf: instrumenttype 2</t>
  </si>
  <si>
    <t xml:space="preserve">     heraf: instrumenttype 3</t>
  </si>
  <si>
    <t xml:space="preserve">Overført resultat </t>
  </si>
  <si>
    <t>Akkumuleret anden totalindkomst (og andre reserver)</t>
  </si>
  <si>
    <t>EU-3a</t>
  </si>
  <si>
    <t>Midler til dækning af generelle kreditinstitutrisici</t>
  </si>
  <si>
    <t xml:space="preserve">Beløb for kvalificerede poster omhandlet i artikel 484, stk. 3, i CRR og overkurs ved emission i tilknytning hertil underlagt udfasning fra egentlig kernekapital </t>
  </si>
  <si>
    <t>Minoritetsinteresser (beløb tilladt i den konsoliderede egentlige kernekapital)</t>
  </si>
  <si>
    <t>EU-5a</t>
  </si>
  <si>
    <t xml:space="preserve">Uafhængigt kontrollerede foreløbige overskud fratrukket forventede udgifter eller udbytter </t>
  </si>
  <si>
    <t>Egentlig kernekapital før lovpligtige justeringer</t>
  </si>
  <si>
    <t>Egentlig kernekapital: lovpligtige justeringer </t>
  </si>
  <si>
    <t>Yderligere værdijusteringer (negativt beløb)</t>
  </si>
  <si>
    <t>Immaterielle aktiver (fratrukket tilhørende skatteforpligtelser) (negativt beløb)</t>
  </si>
  <si>
    <t>a)minus d)</t>
  </si>
  <si>
    <t>Udskudte skatteaktiver, som afhænger af fremtidig rentabilitet, bortset fra aktiver, som skyldes midlertidige forskelle (fratrukket tilknyttede skatteforpligtelser, hvis betingelserne i artikel 38, stk. 3, i CRR er opfyldt) (negativt beløb)</t>
  </si>
  <si>
    <t>Dagsværdireserver i relation til gevinst eller tab på sikring af pengestrømme for finansielle instrumenter, som ikke er værdiansat til dagsværdi</t>
  </si>
  <si>
    <t xml:space="preserve">Negative beløb, der fremkommer ved beregningen af forventede tab </t>
  </si>
  <si>
    <t>Stigning i egenkapitalen, som er genereret af securitiserede aktiver (negativt beløb)</t>
  </si>
  <si>
    <t>Gevinster eller tab på forpligtelser værdiansat til dagsværdi, som skyldes ændringer i instituttets egen kreditsituation</t>
  </si>
  <si>
    <t>Aktiver i ydelsesbaserede pensionskasser (negativt beløb)</t>
  </si>
  <si>
    <t>Et instituts direkte, indirekte og syntetiske besiddelser af egne egentlige kernekapitalinstrumenter (negativt beløb)</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</si>
  <si>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</si>
  <si>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Instituttets relevante direkte, indirekte og syntetiske besiddelser af egentlige kernekapitalinstrumenter i enheder i den finansielle sektor, når instituttet ikke har væsentlige investeringer i disse enheder (beløb over tærsklen på 10 % og fratrukket anerkendte korte positioner) (negativt beløb)</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</si>
  <si>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</si>
  <si>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EU-20a</t>
  </si>
  <si>
    <t>Eksponeringsværdien af følgende poster, som opfylder betingelserne for at kunne tildeles en risikovægt på 1 250 %, hvis instituttet vælger fradragsalternativet</t>
  </si>
  <si>
    <t>EU-20b</t>
  </si>
  <si>
    <t xml:space="preserve">     heraf: kvalificerede andele uden for den finansielle sektor (negativt beløb)</t>
  </si>
  <si>
    <t>EU-20c</t>
  </si>
  <si>
    <t xml:space="preserve">     heraf: securitiseringspositioner (negativt beløb)</t>
  </si>
  <si>
    <t>EU-20d</t>
  </si>
  <si>
    <t xml:space="preserve">     heraf: leveringsrisiko (free deliveries) (negativt beløb)</t>
  </si>
  <si>
    <r>
      <rPr>
        <sz val="9"/>
        <color theme="1"/>
        <rFont val="Calibri"/>
        <family val="2"/>
        <scheme val="minor"/>
      </rPr>
      <t>Udskudte skatteaktiver, som skyldes midlertidige forskelle (beløb over tærsklen på 10 %, fratrukket tilknyttede skatteforpligtelser, hvis betingelserne i artikel 38, stk. 3, i CRR er opfyldt) (negativt beløb)</t>
    </r>
  </si>
  <si>
    <t>Beløb, der overstiger tærsklen på 17,65 % (negativt beløb)</t>
  </si>
  <si>
    <t xml:space="preserve">     heraf: instituttets direkte, indirekte og syntetiske besiddelser af egentlige kernekapitalinstrumenter i enheder i den finansielle sektor, når instituttet har væsentlige investeringer i disse enheder</t>
  </si>
  <si>
    <t xml:space="preserve">     heraf: udskudte skatteaktiver, som skyldes midlertidige forskelle</t>
  </si>
  <si>
    <t>EU-25a</t>
  </si>
  <si>
    <t>Tab i det løbende regnskabsår (negativt beløb)</t>
  </si>
  <si>
    <t>EU-25b</t>
  </si>
  <si>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</si>
  <si>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r>
      <rPr>
        <sz val="9"/>
        <color theme="1"/>
        <rFont val="Calibri"/>
        <family val="2"/>
        <scheme val="minor"/>
      </rPr>
      <t>Kvalificerede fradrag i hybrid kernekapital, der overstiger instituttets hybride kernekapitalposter (negativt beløb)</t>
    </r>
  </si>
  <si>
    <t>27a</t>
  </si>
  <si>
    <r>
      <rPr>
        <sz val="9"/>
        <color theme="1"/>
        <rFont val="Calibri"/>
        <family val="2"/>
        <scheme val="minor"/>
      </rPr>
      <t>Andre lovpligtige justeringer</t>
    </r>
  </si>
  <si>
    <t>Samlede lovpligtige justeringer af egentlig kernekapital</t>
  </si>
  <si>
    <t xml:space="preserve">Egentlig kernekapital </t>
  </si>
  <si>
    <t>Hybrid kernekapital: instrumenter</t>
  </si>
  <si>
    <t>Kapitalinstrumenter og overkurs ved emission i tilknytning hertil</t>
  </si>
  <si>
    <t>i)</t>
  </si>
  <si>
    <t xml:space="preserve">     heraf: klassificeret som egenkapital i henhold til de gældende regnskabsstandarder</t>
  </si>
  <si>
    <t xml:space="preserve">     heraf: klassificeret som forpligtelser i henhold til de gældende regnskabsstandarder</t>
  </si>
  <si>
    <t>Beløb for kvalificerede poster omhandlet i artikel 484, stk. 4, i CRR og overkurs ved emission i tilknytning hertil underlagt udfasning fra hybrid kernekapital</t>
  </si>
  <si>
    <t>EU-33a</t>
  </si>
  <si>
    <t>Beløb for kvalificerede poster omhandlet i artikel 494a, stk. 1, i CRR underlagt udfasning fra hybrid kernekapital</t>
  </si>
  <si>
    <t>EU-33b</t>
  </si>
  <si>
    <t>Beløb for kvalificerede poster omhandlet i artikel 494b, stk. 1, i CRR underlagt udfasning fra hybrid kernekapital</t>
  </si>
  <si>
    <t xml:space="preserve">Kvalificerende kernekapital indregnet i den konsoliderede hybride kernekapital (herunder minoritetsinteresser, der ikke er indregnet i række 5), som er udstedt af datterselskaber og indehaves af tredjemand </t>
  </si>
  <si>
    <t xml:space="preserve">    heraf: instrumenter udstedt af datterselskaber og underlagt udfasning </t>
  </si>
  <si>
    <t xml:space="preserve">   Hybrid kernekapital før lovpligtige justeringer</t>
  </si>
  <si>
    <t>Hybrid kernekapital: lovpligtige justeringer</t>
  </si>
  <si>
    <t>Et instituts direkte, indirekte og syntetiske besiddelser af egne hybride kernekapitalinstrumenter (negativt beløb)</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</si>
  <si>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</si>
  <si>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</si>
  <si>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Instituttets direkte, indirekte og syntetiske besiddelser af hybride kernekapitalinstrumenter i enheder i den finansielle sektor, når instituttet har væsentlige investeringer i disse enheder (fratrukket anerkendte korte positioner) (negativt beløb)</t>
  </si>
  <si>
    <r>
      <rPr>
        <sz val="9"/>
        <color theme="1"/>
        <rFont val="Calibri"/>
        <family val="2"/>
        <scheme val="minor"/>
      </rPr>
      <t>Kvalificerede fradrag i supplerende kapital, der overstiger instituttets supplerende kapitalposter (negativt beløb)</t>
    </r>
  </si>
  <si>
    <t xml:space="preserve">42a </t>
  </si>
  <si>
    <t>Andre lovpligtige justeringer af den hybride kernekapital</t>
  </si>
  <si>
    <t>Samlede lovpligtige justeringer af hybrid kernekapital</t>
  </si>
  <si>
    <t xml:space="preserve">Hybrid kernekapital </t>
  </si>
  <si>
    <t>Kernekapital (kernekapital = egentlig kernekapital + hybrid kernekapital)</t>
  </si>
  <si>
    <t>Supplerende kapital: instrumenter</t>
  </si>
  <si>
    <t>Beløbet for kvalificerede poster omhandlet i artikel 484, stk. 5, i CRR og overkurs ved emission i tilknytning hertil underlagt udfasning fra supplerende kapital, jf. artikel 486, stk. 4, i CRR</t>
  </si>
  <si>
    <t>EU-47a</t>
  </si>
  <si>
    <t>Beløb for kvalificerede poster omhandlet i artikel 494a, stk. 2, i CRR underlagt udfasning fra supplerende kapital.</t>
  </si>
  <si>
    <t>EU-47b</t>
  </si>
  <si>
    <t>Beløb for kvalificerede poster omhandlet i artikel 494b, stk. 2, i CRR underlagt udfasning fra supplerende kapital.</t>
  </si>
  <si>
    <t xml:space="preserve">Kvalificerende kapitalgrundlagsinstrumenter indregnet i konsolideret supplerende kapital (herunder minoritetsinteresser, der ikke medtages i række 5 eller 34), som er udstedt af datterselskaber og indehaves af tredjemand. </t>
  </si>
  <si>
    <t xml:space="preserve">   heraf: instrumenter udstedt af datterselskaber og underlagt udfasning</t>
  </si>
  <si>
    <t>Kreditrisikojusteringer</t>
  </si>
  <si>
    <t>Supplerende kapital før lovpligtige justeringer</t>
  </si>
  <si>
    <t>Supplerende kapital: lovpligtige justeringer </t>
  </si>
  <si>
    <t>Et instituts direkte, indirekte og syntetiske besiddelser af egne supplerende kapitalinstrumenter og efterstillede lån (negativt beløb)</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</si>
  <si>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</si>
  <si>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 xml:space="preserve">Direkte, indirekte og syntetiske besiddelser af supplerende kapitalinstrumenter i enheder i den finansielle sektor, når instituttet ikke har væsentlige investeringer i disse enheder (beløb over tærsklen på 10 % og fratrukket anerkendte korte positioner) (negativt beløb)  </t>
  </si>
  <si>
    <t>54a</t>
  </si>
  <si>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</si>
  <si>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r>
      <rPr>
        <sz val="9"/>
        <color theme="1"/>
        <rFont val="Calibri"/>
        <family val="2"/>
        <scheme val="minor"/>
      </rPr>
      <t>EU-56a</t>
    </r>
    <r>
      <rPr>
        <sz val="8"/>
        <color rgb="FF000000"/>
        <rFont val="Calibri"/>
        <family val="2"/>
        <scheme val="minor"/>
      </rPr>
      <t> </t>
    </r>
  </si>
  <si>
    <t>Kvalificerede fradrag i nedskrivningsrelevante passiver, som overstiger instituttets nedskrivningsrelevante passiver (negativt beløb)</t>
  </si>
  <si>
    <t>EU-56b</t>
  </si>
  <si>
    <t>Andre lovpligtige justeringer af den supplerende kapital</t>
  </si>
  <si>
    <t>Samlede lovpligtige justeringer af supplerende kapital</t>
  </si>
  <si>
    <t xml:space="preserve">Supplerende kapital </t>
  </si>
  <si>
    <t>Samlet kapital (samlet kapital = kernekapital + supplerende kapital)</t>
  </si>
  <si>
    <t>Kapitalprocenter og -krav, inkl. buffere </t>
  </si>
  <si>
    <t>Egentlig kernekapital</t>
  </si>
  <si>
    <t>Kernekapital</t>
  </si>
  <si>
    <t>Samlet kapital</t>
  </si>
  <si>
    <t>Instituttets sammenlagte kapitalkrav for egentlig kernekapital</t>
  </si>
  <si>
    <t xml:space="preserve">heraf: krav om kapitalbevaringsbuffer </t>
  </si>
  <si>
    <t xml:space="preserve">heraf: krav om kontracyklisk kapitalbuffer </t>
  </si>
  <si>
    <t xml:space="preserve">heraf: krav om systemisk risikobuffer </t>
  </si>
  <si>
    <t>EU-67a</t>
  </si>
  <si>
    <t>heraf: krav om G-SII-buffer eller O-SII-buffer</t>
  </si>
  <si>
    <t>EU-67b</t>
  </si>
  <si>
    <t>heraf: krav om yderligere kapitalgrundlag til at tage højde for andre risici end risikoen for overdreven gearing (%)</t>
  </si>
  <si>
    <t>Tilgængelig egentlig kernekapital (som en procentdel af risikoeksponeringen) efter opfyldelse af minimumskapitalkrav</t>
  </si>
  <si>
    <t>Nationale minima (hvis forskellige fra Basel III)</t>
  </si>
  <si>
    <r>
      <rPr>
        <sz val="9"/>
        <color theme="1"/>
        <rFont val="Calibri"/>
        <family val="2"/>
        <scheme val="minor"/>
      </rPr>
      <t>Ikke relevant</t>
    </r>
  </si>
  <si>
    <t>Beløb under tærsklerne for fradrag (før risikovægtning) </t>
  </si>
  <si>
    <r>
      <rPr>
        <sz val="9"/>
        <color theme="1"/>
        <rFont val="Calibri"/>
        <family val="2"/>
        <scheme val="minor"/>
      </rPr>
      <t>Direkte og indirekte besiddelser af kapitalgrundlag og nedskrivningsrelevante passiver i enheder i den finansielle sektor, når instituttet ikke har væsentlige investeringer i disse enheder (beløb under tærsklen på 10 % og fratrukket anerkendte korte positioner)</t>
    </r>
    <r>
      <rPr>
        <sz val="9"/>
        <color rgb="FF000000"/>
        <rFont val="Calibri"/>
        <family val="2"/>
        <scheme val="minor"/>
      </rPr>
      <t xml:space="preserve">   </t>
    </r>
  </si>
  <si>
    <t xml:space="preserve">Instituttets direkte og indirekte besiddelser af egentlige kernekapitalinstrumenter i enheder i den finansielle sektor, når instituttet har væsentlige investeringer i disse enheder (beløb under tærsklen på 17,65 % og fratrukket anerkendte korte positioner) </t>
  </si>
  <si>
    <r>
      <rPr>
        <sz val="9"/>
        <color theme="1"/>
        <rFont val="Calibri"/>
        <family val="2"/>
        <scheme val="minor"/>
      </rPr>
      <t>Udskudte skatteaktiver, som skyldes midlertidige forskelle (beløb under tærsklen på 17,65 %, fratrukket tilknyttede skatteforpligtelser, hvis betingelserne i artikel 38, stk. 3, i CRR er opfyldt)</t>
    </r>
  </si>
  <si>
    <t>Gældende lofter over indregning af hensættelser i supplerende kapital </t>
  </si>
  <si>
    <t>Kreditrisikojusteringer indregnet i den supplerende kapital i forbindelse med eksponeringer opgjort efter standardmetoden (før anvendelse af loftet)</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</si>
  <si>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</si>
  <si>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</si>
  <si>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</si>
  <si>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Kapitalinstrumenter underlagt udfasning (kun i perioden fra den 1. januar 2014 til den 1. januar 2022)</t>
  </si>
  <si>
    <t>Nuværende loft over egentlige kernekapitalinstrumenter underlagt udfasning</t>
  </si>
  <si>
    <t>Beløb ikke indregnet i den egentlige kernekapital som følge af loft (overskridelse af loft efter indfrielse og forfald)</t>
  </si>
  <si>
    <t>Nuværende loft for hybride kernekapitalinstrumenter underlagt udfasning</t>
  </si>
  <si>
    <t>Beløb ikke indregnet i den hybride kernekapital som følge af loft (overskridelse af loft efter indfrielse og forfald)</t>
  </si>
  <si>
    <t>Nuværende loft for supplerende kapitalinstrumenter underlagt udfasning</t>
  </si>
  <si>
    <t>Beløb ikke indregnet i den supplerende kapital som følge af loft (overskridelse af loft efter indfrielse og forfald)</t>
  </si>
  <si>
    <t>EU-9a</t>
  </si>
  <si>
    <t>EU-9b</t>
  </si>
  <si>
    <t>Skema EU-CCyB1 — Geografisk fordeling af krediteksponeringer, der er relevante for beregningen af den kontracykliske kapitalbuffer</t>
  </si>
  <si>
    <t>Skema EU-CCyB2 — Størrelsen af den institutspecifikke kontracykliske kapitalbuffer</t>
  </si>
  <si>
    <t>i</t>
  </si>
  <si>
    <t>j</t>
  </si>
  <si>
    <t>k</t>
  </si>
  <si>
    <t>l</t>
  </si>
  <si>
    <t>m</t>
  </si>
  <si>
    <t>Generelle krediteksponeringer</t>
  </si>
  <si>
    <t>Relevante krediteksponeringer — Markedsrisiko</t>
  </si>
  <si>
    <t>Securitiseringseksponeringer — Værdi af eksponeringer uden for handelsbeholdningen</t>
  </si>
  <si>
    <t>Kapitalgrundlagskrav</t>
  </si>
  <si>
    <t xml:space="preserve">Risikovægtede eksponeringer </t>
  </si>
  <si>
    <t>Vægte for kapitalgrundlagskrav
(%)</t>
  </si>
  <si>
    <t>Kontracyklisk buffersats
(%)</t>
  </si>
  <si>
    <t>Eksponeringsværdi opgjort efter standardmetoden</t>
  </si>
  <si>
    <t>Eksponeringsværdi opgjort efter IRB-metoden</t>
  </si>
  <si>
    <t>Sum af lange og korte positioner af eksponeringer i handelsbeholdningen for standardmetoden</t>
  </si>
  <si>
    <t>Værdi af eksponeringer i handelsbeholdningen for interne modeller</t>
  </si>
  <si>
    <t>Relevante krediteksponeringer — Kreditrisiko</t>
  </si>
  <si>
    <t xml:space="preserve">Relevante krediteksponeringer — Securitiseringspositioner uden for handelsbeholdningen </t>
  </si>
  <si>
    <t xml:space="preserve"> I alt</t>
  </si>
  <si>
    <t>010</t>
  </si>
  <si>
    <t>Opdeling efter land:</t>
  </si>
  <si>
    <t>020</t>
  </si>
  <si>
    <t>Institutspecifik kontracyklisk kapitalbuffersats</t>
  </si>
  <si>
    <t>Krav til den institutspecifikke kontracykliske kapitalbuffer</t>
  </si>
  <si>
    <t>Danmark</t>
  </si>
  <si>
    <t>Skema EU LR1 - LRSum: Afstemning mellem regnskabsmæssige aktiver og gearingsgradrelevante eksponeringer — oversigt</t>
  </si>
  <si>
    <t>Skema EU LR2 - LRCom Oplysninger om gearingsgrad — fælles regler</t>
  </si>
  <si>
    <t>Skema EU LR3 - LRSpl: Opdeling af balanceførte eksponeringer (ekskl. derivater, SFT'er og ikke medregnede eksponeringer)</t>
  </si>
  <si>
    <t>Relevant beløb</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</si>
  <si>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</si>
  <si>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</si>
  <si>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</si>
  <si>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r>
      <rPr>
        <sz val="11"/>
        <color theme="1"/>
        <rFont val="Calibri"/>
        <family val="2"/>
        <scheme val="minor"/>
      </rPr>
      <t>(Justering for midlertidig fritagelse af eksponeringer mod centralbanker (hvis det er relevant))</t>
    </r>
  </si>
  <si>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</si>
  <si>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</si>
  <si>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</si>
  <si>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r>
      <rPr>
        <sz val="11"/>
        <color rgb="FF000000"/>
        <rFont val="Calibri"/>
        <family val="2"/>
        <scheme val="minor"/>
      </rPr>
      <t>Justering for afledte finansielle instrumenter</t>
    </r>
  </si>
  <si>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</si>
  <si>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</si>
  <si>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</si>
  <si>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EU-11a</t>
  </si>
  <si>
    <t>(Justering for eksponeringer udelukket fra det samlede eksponeringsmål, jf. artikel 429a, stk. 1, litra c), i CRR)</t>
  </si>
  <si>
    <t>EU-11b</t>
  </si>
  <si>
    <t>(Justering for eksponeringer udelukket fra det samlede eksponeringsmål, jf. artikel 429a, stk. 1, litra j), i CRR)</t>
  </si>
  <si>
    <t>Andre justeringer</t>
  </si>
  <si>
    <r>
      <rPr>
        <b/>
        <sz val="11"/>
        <color theme="1"/>
        <rFont val="Calibri"/>
        <family val="2"/>
        <scheme val="minor"/>
      </rPr>
      <t>Samlet eksponeringsmål</t>
    </r>
  </si>
  <si>
    <t>Gearingsgradrelevante eksponeringer, jf. CRR</t>
  </si>
  <si>
    <t>Balanceførte eksponeringer (ekskl. derivater og SFT'er)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</si>
  <si>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</si>
  <si>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</si>
  <si>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</si>
  <si>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</si>
  <si>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</si>
  <si>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</si>
  <si>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 xml:space="preserve">Samlede balanceførte eksponeringer (ekskl. derivater og SFT'er) </t>
  </si>
  <si>
    <t>Derivateksponeringer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</si>
  <si>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</si>
  <si>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</si>
  <si>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</si>
  <si>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 xml:space="preserve">Tillægsbeløb for potentiel fremtidig eksponering knyttet til derivattransaktioner opgjort efter standardmetoden for modpartskreditrisiko </t>
  </si>
  <si>
    <t>Undtagelse for derivater: andel af potentiel fremtidig eksponering i henhold til den forenklede standardmetode</t>
  </si>
  <si>
    <t>Eksponering bestemt efter den oprindelige eksponeringsmetode</t>
  </si>
  <si>
    <t>(Ikke medregnet CCP-element af kundeclearede handelseksponeringer) (standardmetode for modpartskreditrisiko)</t>
  </si>
  <si>
    <t>EU-10a</t>
  </si>
  <si>
    <r>
      <rPr>
        <sz val="11"/>
        <color theme="1"/>
        <rFont val="Calibri"/>
        <family val="2"/>
        <scheme val="minor"/>
      </rPr>
      <t>(Ikke medregnet CCP-element af kundeclearede handelseksponeringer) (forenklet standardmetode)</t>
    </r>
  </si>
  <si>
    <t>EU-10b</t>
  </si>
  <si>
    <r>
      <rPr>
        <sz val="11"/>
        <color theme="1"/>
        <rFont val="Calibri"/>
        <family val="2"/>
        <scheme val="minor"/>
      </rPr>
      <t>(-) Ikke medregnet CCP-element af kundeclearede handelseksponeringer (oprindelig eksponeringsmetode)</t>
    </r>
  </si>
  <si>
    <t>Justeret faktisk nominel værdi af solgte kreditderivater</t>
  </si>
  <si>
    <t>(Justerede faktiske nominelle værdijusteringer og fradrag af tillæg for solgte kreditderivater)</t>
  </si>
  <si>
    <t xml:space="preserve">Derivateksponeringer i alt </t>
  </si>
  <si>
    <t>Eksponeringer i forbindelse med værdipapirfinansieringstransaktioner (SFT)</t>
  </si>
  <si>
    <t>Bruttoaktiver, der er indgået i SFT'er (uden netting), efter justering for regnskabsmæssige transaktioner vedrørende salg</t>
  </si>
  <si>
    <t>(Kontantgæld og kontantfordringer (nettede beløb) hidrørende fra bruttoaktiver, der er indgået i SFT'er)</t>
  </si>
  <si>
    <t>Eksponering mod modpartskreditrisiko for SFT-aktiver</t>
  </si>
  <si>
    <t>EU-16a</t>
  </si>
  <si>
    <t>Undtagelse for SFT'er: Modpartskreditrisikoeksponering, jf. artikel 429e, stk. 5, og artikel 222 i CRR</t>
  </si>
  <si>
    <t>Eksponeringer i forbindelse med agenttransaktioner</t>
  </si>
  <si>
    <t>EU-17a</t>
  </si>
  <si>
    <t>(Ikke medregnet CCP-element af kundeclearet SFT-eksponering)</t>
  </si>
  <si>
    <t>Eksponeringer i forbindelse med værdipapirfinansieringstransaktioner i alt</t>
  </si>
  <si>
    <t xml:space="preserve">Andre ikkebalanceførte eksponeringer </t>
  </si>
  <si>
    <t>Ikkebalanceførte eksponeringer til den notionelle bruttoværdi</t>
  </si>
  <si>
    <t>(Justeringer for konvertering til kreditækvivalente beløb)</t>
  </si>
  <si>
    <r>
      <rPr>
        <sz val="11"/>
        <color theme="1"/>
        <rFont val="Calibri"/>
        <family val="2"/>
        <scheme val="minor"/>
      </rPr>
      <t>(Generelle hensættelser fratrukket ved opgørelsen af kernekapital og specifikke hensættelser i forbindelse med ikkebalanceførte eksponeringer)</t>
    </r>
  </si>
  <si>
    <t>Ikkebalanceførte eksponeringer</t>
  </si>
  <si>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</si>
  <si>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</si>
  <si>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</si>
  <si>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</si>
  <si>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</si>
  <si>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</si>
  <si>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</si>
  <si>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</si>
  <si>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</si>
  <si>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</si>
  <si>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r>
      <rPr>
        <sz val="11"/>
        <color theme="1"/>
        <rFont val="Calibri"/>
        <family val="2"/>
        <scheme val="minor"/>
      </rPr>
      <t>(Udelukkede eksponeringer fra pass through-støttelån gennem ikkeoffentlige udviklingskreditinstitutter (eller (enheder))</t>
    </r>
  </si>
  <si>
    <t>EU-22f</t>
  </si>
  <si>
    <t xml:space="preserve">(Udelukkede garanterede dele af eksponeringer, der følger af eksportkreditter) </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</si>
  <si>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</si>
  <si>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</si>
  <si>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</si>
  <si>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</si>
  <si>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</si>
  <si>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</si>
  <si>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</si>
  <si>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</si>
  <si>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</si>
  <si>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</si>
  <si>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</si>
  <si>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r>
      <rPr>
        <sz val="11"/>
        <color theme="1"/>
        <rFont val="Calibri"/>
        <family val="2"/>
        <scheme val="minor"/>
      </rPr>
      <t>Gearingsgrad (%)</t>
    </r>
  </si>
  <si>
    <t>EU-25</t>
  </si>
  <si>
    <t>Gearingsgrad (ekskl. virkningen af undtagelsen af offentlige investeringer og støttelån) (%)</t>
  </si>
  <si>
    <t>25a</t>
  </si>
  <si>
    <r>
      <rPr>
        <sz val="11"/>
        <color theme="1"/>
        <rFont val="Calibri"/>
        <family val="2"/>
        <scheme val="minor"/>
      </rPr>
      <t>Gearingsgrad (ekskl. virkningen af midlertidige undtagelser af centralbankreserver) (%)</t>
    </r>
  </si>
  <si>
    <t>Lovpligtig minimumsgearingsgradkrav (%)</t>
  </si>
  <si>
    <t>EU-26a</t>
  </si>
  <si>
    <t>EU-26b</t>
  </si>
  <si>
    <t xml:space="preserve">     heraf: i form af egentlig kernekapital</t>
  </si>
  <si>
    <t>EU-27a</t>
  </si>
  <si>
    <t>Valg af overgangsordninger og relevante eksponeringer</t>
  </si>
  <si>
    <r>
      <rPr>
        <sz val="11"/>
        <color theme="1"/>
        <rFont val="Calibri"/>
        <family val="2"/>
        <scheme val="minor"/>
      </rPr>
      <t>EU-27b</t>
    </r>
  </si>
  <si>
    <t>Valg af overgangsordninger for definitionen af kapitalmålet</t>
  </si>
  <si>
    <t>Offentliggørelse af gennemsnitsværdier</t>
  </si>
  <si>
    <r>
      <rPr>
        <sz val="11"/>
        <color theme="1"/>
        <rFont val="Calibri"/>
        <family val="2"/>
        <scheme val="minor"/>
      </rPr>
      <t>Gennemsnit af daglige værdier af bruttoaktiver, der er indgået i SFT'er, efter justering for regnskabsmæssige transaktioner vedrørende salg og modregning af relaterede likvide forpligtelser og likvide tilgodehavender</t>
    </r>
  </si>
  <si>
    <t>Kvartalsultimoværdi af bruttoaktiver, der er indgået i SFT'er, efter justering for regnskabsmæssige transaktioner vedrørende salg og modregning af relaterede likvide forpligtelser og likvide tilgodehavender</t>
  </si>
  <si>
    <r>
      <rPr>
        <sz val="11"/>
        <color theme="1"/>
        <rFont val="Calibri"/>
        <family val="2"/>
        <scheme val="minor"/>
      </rPr>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r>
  </si>
  <si>
    <t>30a</t>
  </si>
  <si>
    <r>
      <rPr>
        <sz val="11"/>
        <color theme="1"/>
        <rFont val="Calibri"/>
        <family val="2"/>
        <scheme val="minor"/>
      </rPr>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r>
  </si>
  <si>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</si>
  <si>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</si>
  <si>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</si>
  <si>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EU-1</t>
  </si>
  <si>
    <t>Samlede balanceførte eksponeringer (ekskl. derivater, SFT'er og ikke medregnede eksponeringer), heraf:</t>
  </si>
  <si>
    <t>EU-2</t>
  </si>
  <si>
    <t>Eksponeringer i handelsbeholdningen</t>
  </si>
  <si>
    <t>EU-3</t>
  </si>
  <si>
    <t>Eksponeringer uden for handelsbeholdningen, heraf:</t>
  </si>
  <si>
    <t>EU-4</t>
  </si>
  <si>
    <t>Særligt dækkede obligationer og særligt dækkede realkreditobligationer</t>
  </si>
  <si>
    <t>EU-5</t>
  </si>
  <si>
    <t>Eksponeringer, der behandles som eksponeringer mod stater</t>
  </si>
  <si>
    <t>EU-6</t>
  </si>
  <si>
    <t>Eksponeringer mod regionale myndigheder, multilaterale udviklingsbanker, internationale organisationer og offentlige enheder, der ikke behandles som stater</t>
  </si>
  <si>
    <t>EU-7</t>
  </si>
  <si>
    <t>Institutter</t>
  </si>
  <si>
    <t>EU-8</t>
  </si>
  <si>
    <t>Sikret ved pant i fast ejendom</t>
  </si>
  <si>
    <t>EU-9</t>
  </si>
  <si>
    <t>Detaileksponeringer</t>
  </si>
  <si>
    <t>EU-10</t>
  </si>
  <si>
    <t>Selskaber</t>
  </si>
  <si>
    <t>EU-11</t>
  </si>
  <si>
    <t>Misligholdte eksponeringer</t>
  </si>
  <si>
    <t>EU-12</t>
  </si>
  <si>
    <t>Andre eksponeringer (f.eks. aktieeksponeringer, securitiseringer og andre aktiver, der ikke er gældsforpligtelser)</t>
  </si>
  <si>
    <t>Skema EU LIQ1 - Kvantitative oplysninger om likviditetsdækningsgrad</t>
  </si>
  <si>
    <t xml:space="preserve">Skema EU LIQ2: Net stable funding ratio </t>
  </si>
  <si>
    <t>Uvægtet værdi i alt (gennemsnit)</t>
  </si>
  <si>
    <t>Vægtet værdi i alt (gennemsnit)</t>
  </si>
  <si>
    <t>EU 1a</t>
  </si>
  <si>
    <t>Kvartalsafslutning den (DD måned ÅÅÅÅ)</t>
  </si>
  <si>
    <t>EU 1b</t>
  </si>
  <si>
    <t>Antal datapunkter, der anvendes i beregningen af gennemsnit</t>
  </si>
  <si>
    <t>LIKVIDE AKTIVER AF HØJ KVALITET</t>
  </si>
  <si>
    <t>Likvide aktiver af høj kvalitet (HQLA) i alt</t>
  </si>
  <si>
    <t>UDGÅENDE PENGESTRØMME</t>
  </si>
  <si>
    <t>Detailindskud og indskud fra små erhvervskunder, heraf:</t>
  </si>
  <si>
    <t>Stabile indskud</t>
  </si>
  <si>
    <t>Mindre stabile indskud</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</si>
  <si>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</si>
  <si>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</si>
  <si>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</si>
  <si>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</si>
  <si>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</si>
  <si>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</si>
  <si>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</si>
  <si>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</si>
  <si>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</si>
  <si>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Andre kontraktmæssige finansieringsforpligtelser</t>
  </si>
  <si>
    <t>Øvrige forpligtelser vedrørende eventualfinansiering</t>
  </si>
  <si>
    <t>UDGÅENDE PENGESTRØMME I ALT</t>
  </si>
  <si>
    <t>INDGÅENDE PENGESTRØMME</t>
  </si>
  <si>
    <t>Sikrede udlån (f.eks. reverse repos)</t>
  </si>
  <si>
    <t>Indgående pengestrømme fra eksponeringer, der ikke er misligholdt</t>
  </si>
  <si>
    <t>Andre indgående pengestrømme</t>
  </si>
  <si>
    <t>EU-19a</t>
  </si>
  <si>
    <t>(Forskel mellem vægtede indgående pengestrømme i alt og vægtede udgående pengestrømme i alt, som opstår som følge af transaktioner i tredjelande, hvor der er overførselsrestriktioner, eller som er denomineret i ikkekonvertible valutaer)</t>
  </si>
  <si>
    <t>EU-19b</t>
  </si>
  <si>
    <t>(Overskydende indgående pengestrømme fra et tilknyttet specialiseret kreditinstitut)</t>
  </si>
  <si>
    <t>INDGÅENDE PENGESTRØMME I ALT</t>
  </si>
  <si>
    <t>Helt undtagne indgående pengestrømme</t>
  </si>
  <si>
    <t>Indgående pengestrømme underlagt loft på 90 %</t>
  </si>
  <si>
    <t>Indgående pengestrømme underlagt loft på 75 %</t>
  </si>
  <si>
    <t xml:space="preserve">JUSTERET VÆRDI I ALT </t>
  </si>
  <si>
    <t>EU-21</t>
  </si>
  <si>
    <t>LIKVIDITETSBUFFER</t>
  </si>
  <si>
    <t>UDGÅENDE NETTOPENGESTRØMME I ALT</t>
  </si>
  <si>
    <t>LIKVIDITETSDÆKNINGSGRAD</t>
  </si>
  <si>
    <t>I overensstemmelse med artikel 451a, stk. 3, i CRR</t>
  </si>
  <si>
    <t>(i valutabeløb)</t>
  </si>
  <si>
    <t>Uvægtet værdi efter restløbetid</t>
  </si>
  <si>
    <t>Vægtet værdi</t>
  </si>
  <si>
    <t>Ingen løbetid</t>
  </si>
  <si>
    <t>&lt; 6 måneder</t>
  </si>
  <si>
    <t>6 måneder til &lt; 1 år</t>
  </si>
  <si>
    <t>≥ 1 år</t>
  </si>
  <si>
    <t>Poster vedrørende tilgængelig stabil finansiering (ASF)</t>
  </si>
  <si>
    <t>Kapitalposter og -instrumenter</t>
  </si>
  <si>
    <t>Andre kapitalinstrumenter</t>
  </si>
  <si>
    <t>Detailindskud</t>
  </si>
  <si>
    <t>Engrosfinansiering:</t>
  </si>
  <si>
    <t>Transaktionsrelaterede indskud</t>
  </si>
  <si>
    <t>Anden engrosfinansiering</t>
  </si>
  <si>
    <t>Indbyrdes afhængige passiver</t>
  </si>
  <si>
    <t xml:space="preserve">Andre passiver: </t>
  </si>
  <si>
    <t xml:space="preserve">NSFR-derivatforpligtelser </t>
  </si>
  <si>
    <t>Alle øvrige passiver og kapitalinstrumenter, der ikke indgår i ovenstående kategorier</t>
  </si>
  <si>
    <t>Tilgængelig stabil finansiering (ASF) i alt</t>
  </si>
  <si>
    <t>Poster vedrørende krævet stabil finansiering (RSF)</t>
  </si>
  <si>
    <t>EU-15a</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</si>
  <si>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</si>
  <si>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</si>
  <si>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</si>
  <si>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</si>
  <si>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r>
      <rPr>
        <i/>
        <sz val="11"/>
        <color theme="1"/>
        <rFont val="Calibri"/>
        <family val="2"/>
        <scheme val="minor"/>
      </rPr>
      <t>Værdipapirfinansieringstransaktioner med finansielle kunder, der ikke er misligholdt, og som er sikret ved andre aktiver og lån og forskud til finansieringsinstitutter</t>
    </r>
  </si>
  <si>
    <r>
      <rPr>
        <i/>
        <sz val="11"/>
        <color theme="1"/>
        <rFont val="Calibri"/>
        <family val="2"/>
        <scheme val="minor"/>
      </rPr>
      <t>Lån, der ikke er misligholdt, til ikkefinansielle erhvervskunder, til detailkunder og små erhvervskunder og til stater og offentlige enheder, heraf:</t>
    </r>
  </si>
  <si>
    <t>Med en risikovægt på mindre end eller lig med 35 % i henhold til Basel II-standardmetoden for kreditrisiko</t>
  </si>
  <si>
    <t xml:space="preserve">Ikkemisligholdte realkreditlån i beboelsesejendomme, heraf: </t>
  </si>
  <si>
    <t>Andre lån og værdipapirer, der ikke er misligholdt, og som ikke kan betragtes som likvide aktiver af høj kvalitet, herunder børsnoterede aktier og balanceførte handelsfinansieringsprodukter</t>
  </si>
  <si>
    <t>Indbyrdes afhængige aktiver</t>
  </si>
  <si>
    <t xml:space="preserve">Andre aktiver: </t>
  </si>
  <si>
    <t>Fysisk handlede råvarer</t>
  </si>
  <si>
    <t>Aktiver stillet som initialmargen for derivatkontrakter og bidrag til CCP'ers misligholdelsesfonde</t>
  </si>
  <si>
    <r>
      <rPr>
        <i/>
        <sz val="11"/>
        <color theme="1"/>
        <rFont val="Calibri"/>
        <family val="2"/>
        <scheme val="minor"/>
      </rPr>
      <t>NSFR-derivataktiver</t>
    </r>
    <r>
      <rPr>
        <sz val="11"/>
        <color theme="1"/>
        <rFont val="Calibri"/>
        <family val="2"/>
        <scheme val="minor"/>
      </rPr>
      <t> </t>
    </r>
  </si>
  <si>
    <t xml:space="preserve">NSFR-derivatforpligtelser før fradrag af stillet variationsmargen </t>
  </si>
  <si>
    <t>Alle øvrige aktiver, der ikke indgår i ovenstående kategorier</t>
  </si>
  <si>
    <t>Ikkebalanceførte poster</t>
  </si>
  <si>
    <t>Net stable funding ratio (%)</t>
  </si>
  <si>
    <t xml:space="preserve"> Mislighold som NPE eksponeringer. Eller misligholdt som forfalden betaling, fordi dem medtager vi jo ikke?</t>
  </si>
  <si>
    <t>LCR skema 73 Row :</t>
  </si>
  <si>
    <t>Skema EU CR1-A: Løbetid på eksponeringer</t>
  </si>
  <si>
    <t>Skema EU CR2: Ændringer i beholdningen af misligholdte lån og forskud</t>
  </si>
  <si>
    <t>Skema EU CR2a: Ændringer i beholdningen af misligholdte lån og forskud og akkumulerede inddrevne nettobeløb i forbindelse hermed</t>
  </si>
  <si>
    <t>Skema EU CQ1: Kreditkvalitet af eksponeringer med kreditlempelser</t>
  </si>
  <si>
    <t>Skema EU CQ2: Kvalitet af kreditlempelser</t>
  </si>
  <si>
    <t>Skema EU CQ3: Kreditkvalitet af ikkemisligholdte og misligholdte eksponeringer efter forfaldsdage</t>
  </si>
  <si>
    <t xml:space="preserve">Skema EU CQ6: Værdiansættelse af sikkerhedsstillelse - lån og forskud </t>
  </si>
  <si>
    <t xml:space="preserve">Skema EU CQ7: Sikkerhedsstillelse opnået gennem overtagelse og fuldbyrdelsesprocesser </t>
  </si>
  <si>
    <t>Skema EU CQ8: Sikkerhedsstillelse opnået gennem overtagelse og fuldbyrdelsesprocesser – opdeling efter årgang</t>
  </si>
  <si>
    <t xml:space="preserve">Skema EU CR1: Ikkemisligholdte og misligholdte eksponeringer og dertil knyttede bestemmelser. </t>
  </si>
  <si>
    <t>n</t>
  </si>
  <si>
    <t>o</t>
  </si>
  <si>
    <t>Regnskabsmæssig bruttoværdi/nominel værdi</t>
  </si>
  <si>
    <t>Akkumulerede værdiforringelser, akkumulerede negative ændringer i dagsværdi på grund af kreditrisiko og hensættelser</t>
  </si>
  <si>
    <t>Akkumulerede delvise afskrivninger</t>
  </si>
  <si>
    <t>Sikkerhedsstillelser og modtagne finansielle garantier</t>
  </si>
  <si>
    <t>Ikkemisligholdte eksponeringer</t>
  </si>
  <si>
    <t>Ikkemisligholdte eksponeringer – akkumulerede værdiforringelser og hensættelser</t>
  </si>
  <si>
    <t xml:space="preserve">Misligholdte eksponeringer – akkumulerede værdiforringelser, akkumulerede negative ændringer i dagsværdi på grund af kreditrisiko og hensættelser </t>
  </si>
  <si>
    <t>På ikkemisligholdte eksponeringer</t>
  </si>
  <si>
    <t>På misligholdte eksponeringer</t>
  </si>
  <si>
    <t>Heraf fase 1</t>
  </si>
  <si>
    <t>Heraf fase 2</t>
  </si>
  <si>
    <t>Heraf fase 3</t>
  </si>
  <si>
    <t>005</t>
  </si>
  <si>
    <t>Kassebeholdninger i centralbanker og andre anfordringsindskud</t>
  </si>
  <si>
    <t>Lån og forskud</t>
  </si>
  <si>
    <t>Centralbanker</t>
  </si>
  <si>
    <t>030</t>
  </si>
  <si>
    <t>Centralregeringer</t>
  </si>
  <si>
    <t>040</t>
  </si>
  <si>
    <t>Kreditinstitutter</t>
  </si>
  <si>
    <t>050</t>
  </si>
  <si>
    <t>Andre finansielle selskaber</t>
  </si>
  <si>
    <t>060</t>
  </si>
  <si>
    <t>Ikkefinansielle selskaber</t>
  </si>
  <si>
    <t>070</t>
  </si>
  <si>
    <t xml:space="preserve">          Heraf SMV'er</t>
  </si>
  <si>
    <t>080</t>
  </si>
  <si>
    <t>Husstande</t>
  </si>
  <si>
    <t>090</t>
  </si>
  <si>
    <t>Gældsværdipapirer</t>
  </si>
  <si>
    <t>100</t>
  </si>
  <si>
    <t>110</t>
  </si>
  <si>
    <t>120</t>
  </si>
  <si>
    <t>130</t>
  </si>
  <si>
    <t>140</t>
  </si>
  <si>
    <t>150</t>
  </si>
  <si>
    <t>160</t>
  </si>
  <si>
    <t>170</t>
  </si>
  <si>
    <t>180</t>
  </si>
  <si>
    <t>190</t>
  </si>
  <si>
    <t>200</t>
  </si>
  <si>
    <t>210</t>
  </si>
  <si>
    <t>220</t>
  </si>
  <si>
    <t>Nettoeksponeringsværdi</t>
  </si>
  <si>
    <t>På anfordring</t>
  </si>
  <si>
    <t>&lt;= 1 år</t>
  </si>
  <si>
    <t>&gt; 1 år &lt;= 5 år</t>
  </si>
  <si>
    <t>&gt; 5 år</t>
  </si>
  <si>
    <t>Ingen fastsat løbetid</t>
  </si>
  <si>
    <t>Heraf misligholdte</t>
  </si>
  <si>
    <t>Ikke forfaldne eller forfaldne ≤ 30 dage</t>
  </si>
  <si>
    <t>Forfaldne &gt; 30 dage ≤ 90 dage</t>
  </si>
  <si>
    <t>Betales sandsynligvis ikke, men er ikke forfaldne eller har været forfaldne i ≤ 90 dage</t>
  </si>
  <si>
    <t xml:space="preserve">Forfaldne
&gt; 90 dage
≤ 180 dage
</t>
  </si>
  <si>
    <t xml:space="preserve">Forfaldne
&gt; 180 dage
≤ 1 år
</t>
  </si>
  <si>
    <t xml:space="preserve">Forfaldne
&gt; 1 år ≤ 2 år
</t>
  </si>
  <si>
    <t xml:space="preserve">Forfaldne
&gt; 2 år ≤ 5 år
</t>
  </si>
  <si>
    <t xml:space="preserve">Forfaldne
&gt; 5 år ≤ 7 år
</t>
  </si>
  <si>
    <t>Forfaldne &gt; 7 år</t>
  </si>
  <si>
    <t xml:space="preserve">      Heraf SMV'er</t>
  </si>
  <si>
    <t>Akkumuleret værdiforringelse</t>
  </si>
  <si>
    <t>Akkumulerede negative ændringer i dagsværdi på grund af kreditrisiko vedrørende misligholdte eksponeringer</t>
  </si>
  <si>
    <t>Heraf misligholdte eksponeringer</t>
  </si>
  <si>
    <t>Balanceførte eksponeringer</t>
  </si>
  <si>
    <t>Skema EU CQ5: Kreditkvalitet af lån og forskud til ikkefinansielle selskaber efter branche</t>
  </si>
  <si>
    <t>Regnskabsmæssig bruttoværdi</t>
  </si>
  <si>
    <t>Heraf lån og forskud, der testes for værdiforringelse</t>
  </si>
  <si>
    <t>Landbrug, skovbrug og fiskeri</t>
  </si>
  <si>
    <t>Råstofudvinding</t>
  </si>
  <si>
    <t>Fremstilling</t>
  </si>
  <si>
    <t>El-, gas- og fjernvarmeforsyning</t>
  </si>
  <si>
    <t>Vandforsyning</t>
  </si>
  <si>
    <t>Bygge- og anlægsvirksomhed</t>
  </si>
  <si>
    <t>Engros- og detailhandel</t>
  </si>
  <si>
    <t>Transport og lagring</t>
  </si>
  <si>
    <t>Overnatningsfaciliteter og restaurationsvirksomhed</t>
  </si>
  <si>
    <t>Information og kommunikation</t>
  </si>
  <si>
    <t>Pengeinstitut- og finansvirksomhed, forsikring</t>
  </si>
  <si>
    <t>Forvaltning af og handel med ejendomme</t>
  </si>
  <si>
    <t>Liberale, videnskabelige og tekniske tjenesteydelser</t>
  </si>
  <si>
    <t>Administrative tjenesteydelser og hjælpetjenester</t>
  </si>
  <si>
    <t>Offentlig forvaltning, forsvar og socialsikring</t>
  </si>
  <si>
    <t>Undervisning</t>
  </si>
  <si>
    <t>Sundhedsvæsen og sociale foranstaltninger</t>
  </si>
  <si>
    <t>Kultur, forlystelser og fritid</t>
  </si>
  <si>
    <t>Andre tjenesteydelser</t>
  </si>
  <si>
    <t>Da omfanget af den regnskabsmæssige konsolidering og den tilsynsmæssige konsolidering er det samme, kombineres kolonne a) og b) i dette skema</t>
  </si>
  <si>
    <t>Kreditrisiko-
ramme</t>
  </si>
  <si>
    <t xml:space="preserve">Securitiserings-
ramme </t>
  </si>
  <si>
    <t xml:space="preserve">Modpartskredit-risikoramme </t>
  </si>
  <si>
    <t>Markedsrisiko-ramme</t>
  </si>
  <si>
    <t>-</t>
  </si>
  <si>
    <t>EU-CCyB1 — Geografisk fordeling af krediteksponeringer, der er relevante for beregningen af den kontracykliske kapitalbuffer</t>
  </si>
  <si>
    <t>EU-CCyB2 — Størrelsen af den institutspecifikke kontracykliske kapitalbuffer</t>
  </si>
  <si>
    <t>Skema EU INS1 – Forsikringsinteresser</t>
  </si>
  <si>
    <t>Skema EU INS2 – Finansielle konglomerater — Oplysninger om kapitalgrundlag og kapitalprocent</t>
  </si>
  <si>
    <t>Skema EU CR3 - Overblik over kreditrisikoreduktionsteknikker  Offentliggørelse af anvendelsen af kreditrisikoreduktionsteknikker</t>
  </si>
  <si>
    <t xml:space="preserve">Usikret regnskabsmæssig værdi </t>
  </si>
  <si>
    <t>Sikret regnskabsmæssig værdi</t>
  </si>
  <si>
    <r>
      <rPr>
        <sz val="11"/>
        <color rgb="FF000000"/>
        <rFont val="Segoe UI"/>
        <family val="2"/>
      </rPr>
      <t xml:space="preserve">Heraf </t>
    </r>
    <r>
      <rPr>
        <b/>
        <sz val="11"/>
        <color rgb="FF000000"/>
        <rFont val="Segoe UI"/>
        <family val="2"/>
      </rPr>
      <t>sikret ved sikkerhedsstillelse</t>
    </r>
    <r>
      <rPr>
        <sz val="11"/>
        <color rgb="FF000000"/>
        <rFont val="Segoe UI"/>
        <family val="2"/>
      </rPr>
      <t>:</t>
    </r>
    <r>
      <rPr>
        <b/>
        <sz val="11"/>
        <color rgb="FF000000"/>
        <rFont val="Segoe UI"/>
        <family val="2"/>
      </rPr>
      <t xml:space="preserve"> </t>
    </r>
  </si>
  <si>
    <r>
      <rPr>
        <sz val="11"/>
        <color rgb="FF000000"/>
        <rFont val="Segoe UI"/>
        <family val="2"/>
      </rPr>
      <t xml:space="preserve">Heraf </t>
    </r>
    <r>
      <rPr>
        <b/>
        <sz val="11"/>
        <color rgb="FF000000"/>
        <rFont val="Segoe UI"/>
        <family val="2"/>
      </rPr>
      <t>sikret ved finansielle garantier</t>
    </r>
  </si>
  <si>
    <r>
      <rPr>
        <sz val="11"/>
        <color rgb="FF000000"/>
        <rFont val="Segoe UI"/>
        <family val="2"/>
      </rPr>
      <t xml:space="preserve">Heraf </t>
    </r>
    <r>
      <rPr>
        <b/>
        <sz val="11"/>
        <color rgb="FF000000"/>
        <rFont val="Segoe UI"/>
        <family val="2"/>
      </rPr>
      <t>sikret ved kreditderivater</t>
    </r>
  </si>
  <si>
    <t xml:space="preserve">Gældsværdipapirer </t>
  </si>
  <si>
    <t>  </t>
  </si>
  <si>
    <t xml:space="preserve">     Heraf misligholdte eksponeringer</t>
  </si>
  <si>
    <t xml:space="preserve">            Heraf misligholdte </t>
  </si>
  <si>
    <t>Skema EU CR4 — Standardmetode — Kreditrisikoeksponering og virkninger af kreditrisikoreduktionsteknikker</t>
  </si>
  <si>
    <t>Skema CR5 — Standardmetode</t>
  </si>
  <si>
    <t xml:space="preserve"> Eksponeringsklasser</t>
  </si>
  <si>
    <t>Eksponeringer inden kreditkonvertingsfaktorer og inden kreditrisikoreduktionsteknikker</t>
  </si>
  <si>
    <t>Eksponeringer efter konverteringsfaktorer og efter kreditrisikoreduktionsteknikker</t>
  </si>
  <si>
    <t>Risikovægtede aktiver og tæthed af risikovægtede aktiver</t>
  </si>
  <si>
    <t>Risikovægtede aktiver</t>
  </si>
  <si>
    <t xml:space="preserve">Tæthed af risikovægtede aktiver (%) </t>
  </si>
  <si>
    <t>Centralregeringer eller centralbanker</t>
  </si>
  <si>
    <t>Regionale eller lokale myndigheder</t>
  </si>
  <si>
    <t>Offentlige enheder</t>
  </si>
  <si>
    <t>Multilaterale udviklingsbanker</t>
  </si>
  <si>
    <t>Internationale organisationer</t>
  </si>
  <si>
    <t>Detail</t>
  </si>
  <si>
    <t>Eksponeringer forbundet med særlig høj risiko</t>
  </si>
  <si>
    <t>Institutter og selskaber med kortsigtet kreditvurdering</t>
  </si>
  <si>
    <t>CIU'er</t>
  </si>
  <si>
    <t>Aktier</t>
  </si>
  <si>
    <t>Andre poster</t>
  </si>
  <si>
    <t>I ALT</t>
  </si>
  <si>
    <t>Risikovægt</t>
  </si>
  <si>
    <t>Heraf ikkeratede</t>
  </si>
  <si>
    <t>Andre</t>
  </si>
  <si>
    <t>p</t>
  </si>
  <si>
    <t>q</t>
  </si>
  <si>
    <t>Eksponeringer sikret ved pant i fast ejendom</t>
  </si>
  <si>
    <t>Eksponeringer mod institutter og selskaber med kortsigtet kreditvurdering</t>
  </si>
  <si>
    <t>Andele eller aktier i CIU'er</t>
  </si>
  <si>
    <t>Aktieeksponeringer</t>
  </si>
  <si>
    <t>Skema EU CCR1 - Analyse af modpartskreditrisikoeksponeringer efter metode</t>
  </si>
  <si>
    <t>Skema EU CCR2 – Transaktioner underlagt kapitalgrundlagskrav for kreditværdijusteringsrisiko</t>
  </si>
  <si>
    <t>Skema EU CCR3 — standardmetoden — modpartskreditrisikoeksponeringer efter eksponeringsklasse og risikovægte</t>
  </si>
  <si>
    <t>Skema EU CCR4 — IRB-metoden — modpartskreditrisikoeksponeringer efter eksponeringsklasse og PD-skala</t>
  </si>
  <si>
    <t>Skema EU CCR6 – Eksponering for kreditderivater</t>
  </si>
  <si>
    <t>Skema EU CCR7 - RWEA-flowtabeller for markedsrisikoeksponeringer i henhold til IMM</t>
  </si>
  <si>
    <t>Aktieinstrumenter</t>
  </si>
  <si>
    <t>Skema EU MR1 - Markedsrisiko i henhold til standardmetoden</t>
  </si>
  <si>
    <t>Skema EU MR2-A - Markedsrisiko i henhold til metoden med interne modeller (IMA)</t>
  </si>
  <si>
    <t>Skema EU MR3 - IMA-værdier for handelsporteføljer</t>
  </si>
  <si>
    <t>Skema EU MR4 - Sammenligning af VaR-estimater med gevinster/tab</t>
  </si>
  <si>
    <t>Risikovægtede eksponeringer (RWEA)</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</si>
  <si>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</si>
  <si>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</si>
  <si>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</si>
  <si>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</si>
  <si>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</si>
  <si>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</si>
  <si>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</si>
  <si>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</si>
  <si>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</si>
  <si>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r>
      <rPr>
        <sz val="10"/>
        <color theme="1"/>
        <rFont val="Arial"/>
        <family val="2"/>
      </rPr>
      <t>Securitisering (specifik risiko)</t>
    </r>
  </si>
  <si>
    <t>Skema EU MR2-B - RWEA-flowtabeller for markedsrisikoeksponeringer i henhold til IMA</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</si>
  <si>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</si>
  <si>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</si>
  <si>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</si>
  <si>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</si>
  <si>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 xml:space="preserve"> Skema EU OR1 - Kapitalgrundlagskrav for operationel risiko og risikovægtede eksponeringer</t>
  </si>
  <si>
    <t>Bankaktiviteter</t>
  </si>
  <si>
    <t>Relevant indikator</t>
  </si>
  <si>
    <t>Own funds</t>
  </si>
  <si>
    <t>Total operational risk-weighted exposure amount</t>
  </si>
  <si>
    <r>
      <rPr>
        <sz val="11"/>
        <color theme="1"/>
        <rFont val="Calibri"/>
        <family val="2"/>
        <scheme val="minor"/>
      </rPr>
      <t>Risikoeksponering</t>
    </r>
  </si>
  <si>
    <t>År-3</t>
  </si>
  <si>
    <t>År-2</t>
  </si>
  <si>
    <t>Foregående år</t>
  </si>
  <si>
    <t>requirement</t>
  </si>
  <si>
    <t>Bankaktiviteter omfattet af basisindikatormetoden (BIA)</t>
  </si>
  <si>
    <t>Bankaktiviteter omfattet af standardmetoden (TSA)/ den alternative standardmetode (ASA)</t>
  </si>
  <si>
    <t>OMFATTET AF TSA:</t>
  </si>
  <si>
    <t>OMFATTET AF ASA:</t>
  </si>
  <si>
    <t>Bankaktiviteter omfattet af avancerede målemetoder (AMA)</t>
  </si>
  <si>
    <t xml:space="preserve">Skema EU REM1 – Aflønning tildelt i løbet af regnskabsåret </t>
  </si>
  <si>
    <t>Skema EU REM2 – Særlige betalinger til medarbejdere, hvis arbejde har væsentlig indflydelse på instituttets risikoprofil (identificerede medarbejdere)</t>
  </si>
  <si>
    <t xml:space="preserve">Skema EU REM3 – Udskudt aflønning </t>
  </si>
  <si>
    <t>Skema EU REM4 – Aflønning på 1 mio. EUR eller derover pr. regnskabsår</t>
  </si>
  <si>
    <t>Skema REM5 – Oplysninger om aflønning af medarbejdere, hvis arbejde har væsentlig indflydelse på instituttets risikoprofil (identificerede medarbejdere)</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</si>
  <si>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</si>
  <si>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</si>
  <si>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</si>
  <si>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</si>
  <si>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</si>
  <si>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</si>
  <si>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</si>
  <si>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</si>
  <si>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</si>
  <si>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</si>
  <si>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</si>
  <si>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</si>
  <si>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</si>
  <si>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</si>
  <si>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</si>
  <si>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</si>
  <si>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</si>
  <si>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Heraf: udskudt</t>
  </si>
  <si>
    <t>EU-13a</t>
  </si>
  <si>
    <t>EU-14a</t>
  </si>
  <si>
    <t>EU-13b</t>
  </si>
  <si>
    <t>EU-14b</t>
  </si>
  <si>
    <t>EU-14x</t>
  </si>
  <si>
    <t>EU-14y</t>
  </si>
  <si>
    <t>Aflønning i alt (2 + 10)</t>
  </si>
  <si>
    <t>Ledelsesorganet i dets ledelsesfunktion</t>
  </si>
  <si>
    <t xml:space="preserve">a </t>
  </si>
  <si>
    <t>Aflønning af ledelsesorgan</t>
  </si>
  <si>
    <t>Forretningsområder</t>
  </si>
  <si>
    <t>Ledelsesorgan, i alt</t>
  </si>
  <si>
    <t>Investeringsbankvirksomhed</t>
  </si>
  <si>
    <t>Detailbankydelser</t>
  </si>
  <si>
    <t>Forvaltning af aktiver</t>
  </si>
  <si>
    <t>Forretningsfunktioner</t>
  </si>
  <si>
    <t>Uafhængige interne kontrolfunktioner</t>
  </si>
  <si>
    <t>Alle andre</t>
  </si>
  <si>
    <t xml:space="preserve">I alt </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</si>
  <si>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</si>
  <si>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</si>
  <si>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</si>
  <si>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</si>
  <si>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</si>
  <si>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</si>
  <si>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</si>
  <si>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Skema EU AE1 - Behæftede og ubehæftede aktiver</t>
  </si>
  <si>
    <t>Skema EU AE2 - Modtaget sikkerhedsstillelse og egne udstedte gældsværdipapirer</t>
  </si>
  <si>
    <t>Skema EU AE3 – Behæftelseskilder</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</si>
  <si>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</si>
  <si>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</si>
  <si>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</si>
  <si>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</si>
  <si>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</si>
  <si>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</si>
  <si>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</si>
  <si>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</si>
  <si>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</si>
  <si>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</si>
  <si>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</si>
  <si>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</si>
  <si>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Skema EU CR6 — IRB-metoden — kreditrisikoeksponeringer efter eksponeringsklasse og PD-interval</t>
  </si>
  <si>
    <t>Skema EU CR6-A – IRB-metoden – anvendelsesområdet for IRB-metoden og SA-metoden</t>
  </si>
  <si>
    <t>Skema EU CR7 – IRB-metoden – Virkning af kreditderivater anvendt som CRM-teknikker på de risikovægtede eksponeringer</t>
  </si>
  <si>
    <t>Skema EU CR7-A – IRB-metoden – Offentliggørelse af omfanget af anvendelsen af kreditrisikoreduktionsteknikker</t>
  </si>
  <si>
    <t xml:space="preserve">Skema EU CR8 - RWEA-flowtabeller for kreditrisikoeksponeringer i henhold til IRB-metoden. </t>
  </si>
  <si>
    <t>Skema CR9 –IRB-metoden – Back-testing af PD efter eksponeringsklasse. (fastsat PD-skala)</t>
  </si>
  <si>
    <t>Skema CR9.1 – IRB metoden – Back-testing af PD efter eksponeringsklasse (kun for PD-estimater i henhold til artikel 180, stk. 1, litra f), i CRR)</t>
  </si>
  <si>
    <t>Skema EU CR10 – Specialiseret långivning og aktieeksponeringer i henhold til den forenklede risikovægtningsmetode</t>
  </si>
  <si>
    <t>Skema EU-SEC2 - Securitiseringseksponeringer i handelsbeholdningen</t>
  </si>
  <si>
    <t>Skema EU-SEC3 - Securitiseringseksponeringer uden for handelsbeholdningen og tilknyttede lovbestemte kapitalkrav - instituttet optræder som eksponeringsleverende eller organiserende institut</t>
  </si>
  <si>
    <t>Skema EU-SEC4 - Securitiseringseksponeringer uden for handelsbeholdningen og tilknyttede lovpligtige kapitalkrav - instituttet optræder som investorinstitut</t>
  </si>
  <si>
    <t>Skema EU-SEC5 - Eksponeringer securitiseret af instituttet - Misligholdte eksponeringer og specifikke kreditrisikojusteringer</t>
  </si>
  <si>
    <r>
      <rPr>
        <sz val="11"/>
        <color theme="1"/>
        <rFont val="Calibri"/>
        <family val="2"/>
        <scheme val="minor"/>
      </rPr>
      <t>Skema EU-SEC1 - Securitiseringseksponeringer uden for handelsbeholdningen</t>
    </r>
  </si>
  <si>
    <r>
      <rPr>
        <sz val="11"/>
        <color theme="1"/>
        <rFont val="Calibri"/>
        <family val="2"/>
        <scheme val="minor"/>
      </rPr>
      <t>Skema EU CQ4: Kvaliteten af misligholdte eksponeringer efter geografisk placering</t>
    </r>
    <r>
      <rPr>
        <sz val="11"/>
        <color rgb="FF000000"/>
        <rFont val="Calibri"/>
        <family val="2"/>
        <scheme val="minor"/>
      </rPr>
      <t> </t>
    </r>
  </si>
  <si>
    <t>Skema EU PV1 – Justeringer som følge af forsigtig værdiansættelse (PVA)</t>
  </si>
  <si>
    <r>
      <rPr>
        <sz val="11"/>
        <color theme="1"/>
        <rFont val="Calibri"/>
        <family val="2"/>
        <scheme val="minor"/>
      </rPr>
      <t>Skema EU CCR5 — Sammensætning af sikkerhedsstillelse for modpartskreditrisikoeksponeringer</t>
    </r>
  </si>
  <si>
    <t>Følgende skemaer anses som urelevante eller uvæsentlige for Aktieselskabet Nordfyns Bank</t>
  </si>
  <si>
    <t>Skema EU CCR8  - Modpartskreditrisikoeksponeringer</t>
  </si>
  <si>
    <t>Bestyrelse</t>
  </si>
  <si>
    <t>Direktion</t>
  </si>
  <si>
    <t>Væsentlige risikotagere</t>
  </si>
  <si>
    <t>Skema EU CCA - Hovedtræk ved lovpligtige kapitalgrundlagsinstrumenter og nedskrivningsrelevante passivinstrumenter</t>
  </si>
  <si>
    <t>Samlede kapitalgrundlags-
krav</t>
  </si>
  <si>
    <t>Nordfyns Banks udenlandske krediteksponeringer udgør mind end 2 % af de samlede risikovægtede eksponeringer, hvorfor disse er henført til Danmark.</t>
  </si>
  <si>
    <t>Eksponeringer fra andre lande:</t>
  </si>
  <si>
    <t>AT</t>
  </si>
  <si>
    <t>AU</t>
  </si>
  <si>
    <t>DE</t>
  </si>
  <si>
    <t>ES</t>
  </si>
  <si>
    <t>GB</t>
  </si>
  <si>
    <t>GL</t>
  </si>
  <si>
    <t>IT</t>
  </si>
  <si>
    <t>LT</t>
  </si>
  <si>
    <t>LU</t>
  </si>
  <si>
    <t>NO</t>
  </si>
  <si>
    <t>SE</t>
  </si>
  <si>
    <t>US</t>
  </si>
  <si>
    <t>Øvrige</t>
  </si>
  <si>
    <t>Eksponeringsværdi 
i alt</t>
  </si>
  <si>
    <t>Nordfyns Bank kan p.t. ikke identificere beløb til ovenstående skemaer på et validt datagrundlag.</t>
  </si>
  <si>
    <t>EU OV1 – Oversigt over samlede risikoeksponeringer</t>
  </si>
  <si>
    <t>EU KM1 – Skema om væsentlige målekriterier</t>
  </si>
  <si>
    <t xml:space="preserve">EU LI1 – Forskelle mellem de regnskabsmæssige rammer og rammerne for tilsynsmæssig konsolidering og sammenstilling af regnskabskategorierne og lovmæssigt fastsatte risikokategorier </t>
  </si>
  <si>
    <t xml:space="preserve">EU LI2 – Primære kilder til forskelle mellem de tilsynsmæssige eksponeringsbeløb og regnskabsmæssige værdier </t>
  </si>
  <si>
    <t>EU CC1 — Sammensætning af lovpligtigt kapitalgrundlag</t>
  </si>
  <si>
    <t xml:space="preserve">EU LI3 – Skitsering af forskellene i konsolideringens omfang (enhed for enhed) </t>
  </si>
  <si>
    <t>EU LR1 - LRSum: Afstemning mellem regnskabsmæssige aktiver og gearingsgradrelevante eksponeringer — oversigt</t>
  </si>
  <si>
    <t>EU LR2 - LRCom Oplysninger om gearingsgrad — fælles regler</t>
  </si>
  <si>
    <t>EU LR3 - LRSpl: Opdeling af balanceførte eksponeringer (ekskl. derivater, SFT'er og ikke medregnede eksponeringer)</t>
  </si>
  <si>
    <t>EU LIQ1 - Kvantitative oplysninger om likviditetsdækningsgrad</t>
  </si>
  <si>
    <t>EU CR3 - Overblik over kreditrisikoreduktionsteknikker  Offentliggørelse af anvendelsen af kreditrisikoreduktionsteknikker</t>
  </si>
  <si>
    <t>EU CR4 — Standardmetode — Kreditrisikoeksponering og virkninger af kreditrisikoreduktionsteknikker</t>
  </si>
  <si>
    <t>EU CR5 — Standardmetode</t>
  </si>
  <si>
    <t>EU MR1 - Markedsrisiko i henhold til standardmetoden</t>
  </si>
  <si>
    <t>EU OV1</t>
  </si>
  <si>
    <t>EU OR1 - Kapitalgrundlagskrav for operationel risiko og risikovægtede eksponeringer</t>
  </si>
  <si>
    <t xml:space="preserve">EU REM1 – Aflønning tildelt i løbet af regnskabsåret </t>
  </si>
  <si>
    <t>EU REM5 – Oplysninger om aflønning af medarbejdere, hvis arbejde har væsentlig indflydelse på instituttets risikoprofil (identificerede medarbejdere)</t>
  </si>
  <si>
    <t>EU AE1 - Behæftede og ubehæftede aktiver</t>
  </si>
  <si>
    <t>Skema</t>
  </si>
  <si>
    <t>EU KM1</t>
  </si>
  <si>
    <t>EU LI1</t>
  </si>
  <si>
    <t>EU LI2</t>
  </si>
  <si>
    <t>EU LI3</t>
  </si>
  <si>
    <t>EU CC1</t>
  </si>
  <si>
    <t>EU-CCyB1</t>
  </si>
  <si>
    <t>EU-CCyB2</t>
  </si>
  <si>
    <t>EU LR1</t>
  </si>
  <si>
    <t>EU LR2</t>
  </si>
  <si>
    <t>EU LR3</t>
  </si>
  <si>
    <t>EU LIQ1</t>
  </si>
  <si>
    <t>EU LIQ2</t>
  </si>
  <si>
    <t>EU CR1</t>
  </si>
  <si>
    <t>EU CR1-A</t>
  </si>
  <si>
    <t>EU CQ3</t>
  </si>
  <si>
    <t>EU CQ5</t>
  </si>
  <si>
    <t>EU CR3</t>
  </si>
  <si>
    <t>EU CR4</t>
  </si>
  <si>
    <t>EU CR5</t>
  </si>
  <si>
    <t>EU MR1</t>
  </si>
  <si>
    <t>EU OR1</t>
  </si>
  <si>
    <t>EU REM1</t>
  </si>
  <si>
    <t>EU REM5</t>
  </si>
  <si>
    <t>EU AE1</t>
  </si>
  <si>
    <t xml:space="preserve">EU LIQ2 - Net stable funding ratio </t>
  </si>
  <si>
    <t>EU CR1 - Ikkemisligholdte og misligholdte eksponeringer og dertil knyttede bestemmelser</t>
  </si>
  <si>
    <t>EU CR1-A  -Løbetid på eksponeringer</t>
  </si>
  <si>
    <t>EU CQ3 - Kreditkvalitet af ikkemisligholdte og misligholdte eksponeringer efter forfaldsdage (ingen tilgængelige valide data)</t>
  </si>
  <si>
    <t>EU CQ5-  Kreditkvalitet af lån og forskud til ikkefinansielle selskaber efter branche</t>
  </si>
  <si>
    <t>Referencedato:</t>
  </si>
  <si>
    <t>DKK</t>
  </si>
  <si>
    <t>Selskabsnavn:</t>
  </si>
  <si>
    <t>Indberetningsvaluta:</t>
  </si>
  <si>
    <t>Aktieselskabet Nordfyns Bank</t>
  </si>
  <si>
    <t>LEI kode</t>
  </si>
  <si>
    <t>Konsolideringens omfang:</t>
  </si>
  <si>
    <t>Moderselskabet Aktieselskabet Nordfyns Bank og datterselskabet Nordfyns Finans</t>
  </si>
  <si>
    <t>549300BWB2IW0OL3GQ06</t>
  </si>
  <si>
    <t>Erklæring:</t>
  </si>
  <si>
    <t>bankens politik for oplysning af søjle III-information, som er baseret på Europa-Parlamentets og Rådets</t>
  </si>
  <si>
    <t>forordning 2019/876 af 20. maj 2019 og EU-kommissionens implementerende regulering 2021/637 af 15. marts 2021.</t>
  </si>
  <si>
    <t>Holger Bruun</t>
  </si>
  <si>
    <t>Adm. direktør</t>
  </si>
  <si>
    <t>Yderligere risikooplysninger (søjle lll) for Aktieselskabet Nordfyns Bank</t>
  </si>
  <si>
    <r>
      <t>Konsolidering: (individuel</t>
    </r>
    <r>
      <rPr>
        <b/>
        <sz val="11"/>
        <color rgb="FF000000"/>
        <rFont val="Calibri"/>
        <family val="2"/>
        <scheme val="minor"/>
      </rPr>
      <t>/konsolideret)</t>
    </r>
  </si>
  <si>
    <t>31. december 2022</t>
  </si>
  <si>
    <t>28. februar 2023</t>
  </si>
  <si>
    <t xml:space="preserve">Nordfyns Banks søjle III-oplysningsforpligtelser pr. den 31. december 2022 er udarbejdet i overensstemmelse med </t>
  </si>
  <si>
    <t>AE</t>
  </si>
  <si>
    <t>BE</t>
  </si>
  <si>
    <t>IN</t>
  </si>
  <si>
    <t>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</si>
</sst>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 #,##0_-;_-* &quot;-&quot;??_-;_-@_-"/>
    <numFmt numFmtId="166" formatCode="_-* #,##0.00\ _k_r_._-;\-* #,##0.00\ _k_r_._-;_-* &quot;-&quot;??\ _k_r_._-;_-@_-"/>
    <numFmt numFmtId="167" formatCode="0.0%"/>
    <numFmt numFmtId="168" formatCode="_-* #,##0\ _k_r_._-;\-* #,##0\ _k_r_._-;_-* &quot;-&quot;??\ _k_r_._-;_-@_-"/>
    <numFmt numFmtId="169" formatCode="_-* #,##0.0_-;\-* #,##0.0_-;_-* &quot;-&quot;??_-;_-@_-"/>
    <numFmt numFmtId="170" formatCode="0.0"/>
  </numFmts>
  <fonts count="83" x14ac:knownFonts="1">
    <font>
      <sz val="11"/>
      <color theme="1"/>
      <name val="Calibri"/>
      <family val="2"/>
      <scheme val="minor"/>
    </font>
    <font>
      <sz val="10"/>
      <color theme="1"/>
      <name val="Arial"/>
      <family val="2"/>
    </font>
    <font>
      <sz val="10"/>
      <color theme="1"/>
      <name val="Arial"/>
      <family val="2"/>
    </font>
    <font>
      <sz val="9"/>
      <name val="Calibri"/>
      <family val="2"/>
      <scheme val="minor"/>
    </font>
    <font>
      <sz val="11"/>
      <name val="Calibri"/>
      <family val="2"/>
      <scheme val="minor"/>
    </font>
    <font>
      <b/>
      <sz val="11"/>
      <name val="Calibri"/>
      <family val="2"/>
      <scheme val="minor"/>
    </font>
    <font>
      <sz val="9"/>
      <name val="Calibri Light"/>
      <family val="2"/>
      <scheme val="major"/>
    </font>
    <font>
      <sz val="9"/>
      <color theme="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b/>
      <sz val="11"/>
      <color theme="1"/>
      <name val="Calibri"/>
      <family val="2"/>
      <scheme val="minor"/>
    </font>
    <font>
      <i/>
      <sz val="11"/>
      <color rgb="FFAA322F"/>
      <name val="Calibri"/>
      <family val="2"/>
      <scheme val="minor"/>
    </font>
    <font>
      <b/>
      <sz val="11"/>
      <color rgb="FFAA322F"/>
      <name val="Calibri"/>
      <family val="2"/>
      <scheme val="minor"/>
    </font>
    <font>
      <sz val="11"/>
      <color theme="1"/>
      <name val="Calibri"/>
      <family val="2"/>
      <scheme val="minor"/>
    </font>
    <font>
      <i/>
      <sz val="11"/>
      <color theme="1"/>
      <name val="Calibri"/>
      <family val="2"/>
      <scheme val="minor"/>
    </font>
    <font>
      <b/>
      <sz val="11"/>
      <color theme="1"/>
      <name val="CircularXX"/>
      <family val="3"/>
    </font>
    <font>
      <b/>
      <sz val="20"/>
      <color theme="1"/>
      <name val="CircularXX"/>
      <family val="3"/>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b/>
      <sz val="11"/>
      <color rgb="FFFF0000"/>
      <name val="Calibri"/>
      <family val="2"/>
      <scheme val="minor"/>
    </font>
    <font>
      <b/>
      <sz val="14"/>
      <color theme="1"/>
      <name val="Calibri"/>
      <family val="2"/>
      <scheme val="minor"/>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b/>
      <sz val="14"/>
      <color rgb="FF000000"/>
      <name val="Calibri"/>
      <family val="2"/>
      <scheme val="minor"/>
    </font>
    <font>
      <i/>
      <sz val="11"/>
      <color rgb="FF000000"/>
      <name val="Calibri"/>
      <family val="2"/>
      <scheme val="minor"/>
    </font>
    <font>
      <sz val="10"/>
      <name val="Arial"/>
      <family val="2"/>
    </font>
    <font>
      <strike/>
      <sz val="9"/>
      <name val="Calibri"/>
      <family val="2"/>
      <scheme val="minor"/>
    </font>
    <font>
      <sz val="11"/>
      <color theme="1"/>
      <name val="Calibri"/>
      <family val="2"/>
      <charset val="238"/>
      <scheme val="minor"/>
    </font>
    <font>
      <sz val="12"/>
      <color theme="1"/>
      <name val="Calibri"/>
      <family val="2"/>
      <scheme val="minor"/>
    </font>
    <font>
      <b/>
      <sz val="12"/>
      <color rgb="FF000000"/>
      <name val="Calibri"/>
      <family val="2"/>
      <scheme val="minor"/>
    </font>
    <font>
      <u/>
      <sz val="11"/>
      <color rgb="FF008080"/>
      <name val="Calibri"/>
      <family val="2"/>
      <scheme val="minor"/>
    </font>
    <font>
      <b/>
      <sz val="11"/>
      <color theme="1"/>
      <name val="Segoe UI"/>
      <family val="2"/>
    </font>
    <font>
      <i/>
      <sz val="11"/>
      <name val="Calibri"/>
      <family val="2"/>
      <scheme val="minor"/>
    </font>
    <font>
      <b/>
      <sz val="10"/>
      <name val="Calibri"/>
      <family val="2"/>
      <scheme val="minor"/>
    </font>
    <font>
      <sz val="8.5"/>
      <color theme="1"/>
      <name val="Segoe UI"/>
      <family val="2"/>
    </font>
    <font>
      <i/>
      <sz val="8"/>
      <color theme="1"/>
      <name val="Segoe UI"/>
      <family val="2"/>
    </font>
    <font>
      <b/>
      <i/>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sz val="8"/>
      <color theme="1"/>
      <name val="Segoe UI"/>
      <family val="2"/>
    </font>
    <font>
      <b/>
      <i/>
      <sz val="8"/>
      <color theme="1"/>
      <name val="Segoe UI"/>
      <family val="2"/>
    </font>
    <font>
      <b/>
      <sz val="9"/>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b/>
      <sz val="11"/>
      <color rgb="FF000000"/>
      <name val="Segoe UI"/>
      <family val="2"/>
    </font>
    <font>
      <i/>
      <sz val="11"/>
      <name val="Segoe UI"/>
      <family val="2"/>
    </font>
    <font>
      <sz val="11"/>
      <name val="Segoe UI"/>
      <family val="2"/>
    </font>
    <font>
      <sz val="8.5"/>
      <color theme="1"/>
      <name val="Calibri"/>
      <family val="2"/>
      <scheme val="minor"/>
    </font>
    <font>
      <b/>
      <sz val="8.5"/>
      <color theme="1"/>
      <name val="Calibri"/>
      <family val="2"/>
      <scheme val="minor"/>
    </font>
    <font>
      <sz val="11"/>
      <name val="Arial"/>
      <family val="2"/>
    </font>
    <font>
      <b/>
      <sz val="10"/>
      <color rgb="FF000000"/>
      <name val="Arial"/>
      <family val="2"/>
    </font>
    <font>
      <sz val="10"/>
      <color rgb="FF000000"/>
      <name val="Arial"/>
      <family val="2"/>
    </font>
    <font>
      <b/>
      <sz val="12"/>
      <color theme="1"/>
      <name val="Arial"/>
      <family val="2"/>
    </font>
    <font>
      <b/>
      <sz val="10"/>
      <name val="Arial"/>
      <family val="2"/>
    </font>
    <font>
      <b/>
      <sz val="12"/>
      <name val="Arial"/>
      <family val="2"/>
    </font>
    <font>
      <sz val="11"/>
      <color rgb="FF0070C0"/>
      <name val="Calibri"/>
      <family val="2"/>
      <scheme val="minor"/>
    </font>
    <font>
      <i/>
      <u/>
      <sz val="11"/>
      <name val="Calibri"/>
      <family val="2"/>
      <scheme val="minor"/>
    </font>
    <font>
      <sz val="11"/>
      <color indexed="10"/>
      <name val="Calibri"/>
      <family val="2"/>
      <scheme val="minor"/>
    </font>
    <font>
      <sz val="8"/>
      <color rgb="FFFF0000"/>
      <name val="Calibri"/>
      <family val="2"/>
      <scheme val="minor"/>
    </font>
    <font>
      <strike/>
      <sz val="11"/>
      <name val="Calibri"/>
      <family val="2"/>
      <scheme val="minor"/>
    </font>
    <font>
      <b/>
      <sz val="9"/>
      <name val="Verdana"/>
      <family val="2"/>
    </font>
    <font>
      <b/>
      <strike/>
      <sz val="9"/>
      <name val="Verdana"/>
      <family val="2"/>
    </font>
    <font>
      <sz val="10"/>
      <name val="Verdana"/>
      <family val="2"/>
    </font>
    <font>
      <b/>
      <sz val="10"/>
      <name val="Verdana"/>
      <family val="2"/>
    </font>
    <font>
      <b/>
      <sz val="20"/>
      <name val="Arial"/>
      <family val="2"/>
    </font>
    <font>
      <sz val="11"/>
      <name val="Calibri"/>
      <family val="2"/>
      <charset val="238"/>
      <scheme val="minor"/>
    </font>
    <font>
      <u/>
      <sz val="11"/>
      <color theme="10"/>
      <name val="Calibri"/>
      <family val="2"/>
      <scheme val="minor"/>
    </font>
    <font>
      <i/>
      <sz val="11"/>
      <color rgb="FFFF0000"/>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499984740745262"/>
        <bgColor indexed="64"/>
      </patternFill>
    </fill>
    <fill>
      <patternFill patternType="solid">
        <fgColor indexed="42"/>
        <bgColor indexed="64"/>
      </patternFill>
    </fill>
    <fill>
      <patternFill patternType="solid">
        <fgColor indexed="9"/>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theme="0" tint="-0.249977111117893"/>
        <bgColor indexed="64"/>
      </patternFill>
    </fill>
  </fills>
  <borders count="6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double">
        <color indexed="64"/>
      </bottom>
      <diagonal/>
    </border>
  </borders>
  <cellStyleXfs count="14">
    <xf numFmtId="0" fontId="0" fillId="0" borderId="0"/>
    <xf numFmtId="164" fontId="14" fillId="0" borderId="0" applyFont="0" applyFill="0" applyBorder="0" applyAlignment="0" applyProtection="0"/>
    <xf numFmtId="9" fontId="14" fillId="0" borderId="0" applyFont="0" applyFill="0" applyBorder="0" applyAlignment="0" applyProtection="0"/>
    <xf numFmtId="0" fontId="36" fillId="0" borderId="0">
      <alignment vertical="center"/>
    </xf>
    <xf numFmtId="3" fontId="36" fillId="11" borderId="2" applyFont="0">
      <alignment horizontal="right" vertical="center"/>
      <protection locked="0"/>
    </xf>
    <xf numFmtId="0" fontId="38" fillId="0" borderId="0"/>
    <xf numFmtId="0" fontId="36" fillId="0" borderId="0">
      <alignment vertical="center"/>
    </xf>
    <xf numFmtId="0" fontId="36" fillId="0" borderId="0"/>
    <xf numFmtId="0" fontId="36" fillId="0" borderId="0"/>
    <xf numFmtId="0" fontId="36" fillId="0" borderId="0"/>
    <xf numFmtId="0" fontId="69" fillId="0" borderId="0" applyNumberFormat="0" applyFill="0" applyBorder="0" applyAlignment="0" applyProtection="0"/>
    <xf numFmtId="0" fontId="79" fillId="12" borderId="11" applyNumberFormat="0" applyFill="0" applyBorder="0" applyAlignment="0" applyProtection="0">
      <alignment horizontal="left"/>
    </xf>
    <xf numFmtId="0" fontId="68" fillId="12" borderId="7" applyFont="0" applyBorder="0">
      <alignment horizontal="center" wrapText="1"/>
    </xf>
    <xf numFmtId="0" fontId="81" fillId="0" borderId="0" applyNumberFormat="0" applyFill="0" applyBorder="0" applyAlignment="0" applyProtection="0"/>
  </cellStyleXfs>
  <cellXfs count="700">
    <xf numFmtId="0" fontId="0" fillId="0" borderId="0" xfId="0"/>
    <xf numFmtId="0" fontId="3" fillId="0" borderId="0" xfId="0" applyFont="1"/>
    <xf numFmtId="0" fontId="4" fillId="0" borderId="0" xfId="0" applyFont="1"/>
    <xf numFmtId="0" fontId="5" fillId="0" borderId="0" xfId="0" applyFont="1"/>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indent="1"/>
    </xf>
    <xf numFmtId="0" fontId="6" fillId="0" borderId="0" xfId="0" applyFont="1"/>
    <xf numFmtId="0" fontId="4" fillId="2" borderId="2" xfId="0" applyFont="1" applyFill="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7" fillId="0" borderId="0" xfId="0" applyFont="1"/>
    <xf numFmtId="0" fontId="8" fillId="0" borderId="2" xfId="0" applyFont="1" applyBorder="1" applyAlignment="1">
      <alignment horizontal="center" vertical="center" wrapText="1"/>
    </xf>
    <xf numFmtId="0" fontId="8" fillId="0" borderId="2" xfId="0" applyFont="1" applyBorder="1" applyAlignment="1">
      <alignment horizontal="justify" vertical="center" wrapText="1"/>
    </xf>
    <xf numFmtId="0" fontId="0" fillId="0" borderId="2" xfId="0" applyBorder="1"/>
    <xf numFmtId="0" fontId="9" fillId="3" borderId="2" xfId="0" applyFont="1" applyFill="1" applyBorder="1" applyAlignment="1">
      <alignment horizontal="center" vertical="center" wrapText="1"/>
    </xf>
    <xf numFmtId="0" fontId="4" fillId="0" borderId="2" xfId="0" applyFont="1" applyBorder="1" applyAlignment="1">
      <alignment horizontal="justify" vertical="center" wrapText="1"/>
    </xf>
    <xf numFmtId="0" fontId="10" fillId="0" borderId="0" xfId="0" applyFont="1"/>
    <xf numFmtId="0" fontId="4" fillId="0" borderId="7" xfId="0" applyFont="1" applyBorder="1" applyAlignment="1">
      <alignment vertical="center" wrapText="1"/>
    </xf>
    <xf numFmtId="0" fontId="8" fillId="0" borderId="2" xfId="0" applyFont="1" applyBorder="1" applyAlignment="1">
      <alignment vertical="center" wrapText="1"/>
    </xf>
    <xf numFmtId="0" fontId="11" fillId="3" borderId="2" xfId="0" applyFont="1" applyFill="1" applyBorder="1" applyAlignment="1">
      <alignment vertical="center" wrapText="1"/>
    </xf>
    <xf numFmtId="0" fontId="0" fillId="0" borderId="2" xfId="0" applyBorder="1" applyAlignment="1">
      <alignment horizontal="center" vertical="center" wrapText="1"/>
    </xf>
    <xf numFmtId="0" fontId="12" fillId="0" borderId="4" xfId="0" applyFont="1" applyBorder="1" applyAlignment="1">
      <alignment vertical="center" wrapText="1"/>
    </xf>
    <xf numFmtId="0" fontId="12" fillId="0" borderId="3"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wrapText="1"/>
    </xf>
    <xf numFmtId="0" fontId="11" fillId="0" borderId="0" xfId="0" applyFont="1"/>
    <xf numFmtId="0" fontId="15" fillId="0" borderId="0" xfId="0" applyFont="1"/>
    <xf numFmtId="0" fontId="16" fillId="0" borderId="0" xfId="0" applyFont="1"/>
    <xf numFmtId="0" fontId="17" fillId="0" borderId="0" xfId="0" applyFont="1"/>
    <xf numFmtId="165" fontId="8" fillId="0" borderId="2" xfId="1" applyNumberFormat="1" applyFont="1" applyBorder="1" applyAlignment="1">
      <alignment horizontal="center" vertical="center" wrapText="1"/>
    </xf>
    <xf numFmtId="0" fontId="0" fillId="5" borderId="2" xfId="0" applyFill="1" applyBorder="1" applyAlignment="1">
      <alignment horizontal="center" vertical="center" wrapText="1"/>
    </xf>
    <xf numFmtId="0" fontId="8"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14" fontId="0" fillId="0" borderId="2" xfId="0" applyNumberFormat="1" applyBorder="1" applyAlignment="1">
      <alignment horizontal="center" vertical="center" wrapText="1"/>
    </xf>
    <xf numFmtId="10" fontId="8"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166" fontId="0" fillId="0" borderId="0" xfId="0" applyNumberFormat="1"/>
    <xf numFmtId="0" fontId="0" fillId="0" borderId="0" xfId="0" applyAlignment="1">
      <alignment horizontal="center" vertical="center"/>
    </xf>
    <xf numFmtId="0" fontId="18" fillId="0" borderId="0" xfId="0" applyFont="1" applyAlignment="1">
      <alignment vertical="center"/>
    </xf>
    <xf numFmtId="0" fontId="0" fillId="7" borderId="2" xfId="0" applyFill="1" applyBorder="1" applyAlignment="1">
      <alignment horizontal="center" vertical="center" wrapText="1"/>
    </xf>
    <xf numFmtId="0" fontId="0" fillId="8" borderId="2" xfId="0" applyFill="1" applyBorder="1" applyAlignment="1">
      <alignment vertical="center" wrapText="1"/>
    </xf>
    <xf numFmtId="0" fontId="0" fillId="8" borderId="5" xfId="0" applyFill="1" applyBorder="1" applyAlignment="1">
      <alignment vertical="center" wrapText="1"/>
    </xf>
    <xf numFmtId="0" fontId="19" fillId="8" borderId="2" xfId="0" applyFont="1" applyFill="1" applyBorder="1" applyAlignment="1">
      <alignment vertical="center" wrapText="1"/>
    </xf>
    <xf numFmtId="0" fontId="0" fillId="0" borderId="0" xfId="0" applyAlignment="1">
      <alignment horizontal="justify"/>
    </xf>
    <xf numFmtId="0" fontId="0" fillId="0" borderId="2" xfId="0" applyBorder="1" applyAlignment="1">
      <alignment horizontal="center" vertical="center"/>
    </xf>
    <xf numFmtId="0" fontId="0" fillId="7" borderId="2" xfId="0" applyFill="1" applyBorder="1" applyAlignment="1">
      <alignment vertical="center" wrapText="1"/>
    </xf>
    <xf numFmtId="0" fontId="0" fillId="0" borderId="5" xfId="0" applyBorder="1" applyAlignment="1">
      <alignment vertical="center" wrapText="1"/>
    </xf>
    <xf numFmtId="49" fontId="0" fillId="0" borderId="2" xfId="0" applyNumberFormat="1" applyBorder="1" applyAlignment="1">
      <alignment horizontal="center" vertical="center"/>
    </xf>
    <xf numFmtId="49" fontId="11" fillId="0" borderId="2" xfId="0" applyNumberFormat="1" applyFont="1" applyBorder="1" applyAlignment="1">
      <alignment horizontal="center" vertical="center"/>
    </xf>
    <xf numFmtId="0" fontId="11" fillId="7" borderId="2" xfId="0" applyFont="1" applyFill="1" applyBorder="1" applyAlignment="1">
      <alignment vertical="center" wrapText="1"/>
    </xf>
    <xf numFmtId="0" fontId="11" fillId="0" borderId="2" xfId="0" applyFont="1" applyBorder="1" applyAlignment="1">
      <alignment horizontal="center" vertical="center"/>
    </xf>
    <xf numFmtId="0" fontId="24" fillId="0" borderId="0" xfId="0" applyFont="1" applyAlignment="1">
      <alignment horizontal="center" vertical="center"/>
    </xf>
    <xf numFmtId="0" fontId="25" fillId="0" borderId="0" xfId="0" applyFont="1"/>
    <xf numFmtId="0" fontId="4" fillId="7"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0" borderId="2" xfId="0" applyFont="1" applyBorder="1" applyAlignment="1">
      <alignment vertical="center" wrapText="1"/>
    </xf>
    <xf numFmtId="0" fontId="0" fillId="0" borderId="2" xfId="0" applyBorder="1" applyAlignment="1">
      <alignment vertical="center" wrapText="1"/>
    </xf>
    <xf numFmtId="0" fontId="15" fillId="7" borderId="2" xfId="0" applyFont="1" applyFill="1" applyBorder="1" applyAlignment="1">
      <alignment vertical="center" wrapText="1"/>
    </xf>
    <xf numFmtId="0" fontId="0" fillId="0" borderId="2" xfId="0" applyBorder="1" applyAlignment="1">
      <alignment vertical="top" wrapText="1"/>
    </xf>
    <xf numFmtId="0" fontId="15" fillId="0" borderId="2" xfId="0" applyFont="1" applyBorder="1" applyAlignment="1">
      <alignment horizontal="left" vertical="center"/>
    </xf>
    <xf numFmtId="0" fontId="15" fillId="0" borderId="2" xfId="0" applyFont="1" applyBorder="1" applyAlignment="1">
      <alignment horizontal="center" vertical="center"/>
    </xf>
    <xf numFmtId="0" fontId="15" fillId="0" borderId="2" xfId="0" applyFont="1" applyBorder="1" applyAlignment="1">
      <alignment vertical="center"/>
    </xf>
    <xf numFmtId="0" fontId="0" fillId="0" borderId="0" xfId="0" applyAlignment="1">
      <alignment horizontal="center"/>
    </xf>
    <xf numFmtId="0" fontId="0" fillId="0" borderId="0" xfId="0" applyAlignment="1">
      <alignment vertical="center"/>
    </xf>
    <xf numFmtId="14" fontId="4" fillId="0" borderId="2" xfId="0" applyNumberFormat="1" applyFont="1" applyBorder="1" applyAlignment="1">
      <alignment horizontal="center" vertical="center" wrapText="1"/>
    </xf>
    <xf numFmtId="0" fontId="26" fillId="0" borderId="0" xfId="0" applyFont="1"/>
    <xf numFmtId="165" fontId="8" fillId="0" borderId="2" xfId="1" applyNumberFormat="1" applyFont="1" applyFill="1" applyBorder="1" applyAlignment="1">
      <alignment horizontal="center" vertical="center" wrapText="1"/>
    </xf>
    <xf numFmtId="165" fontId="0" fillId="0" borderId="0" xfId="0" applyNumberFormat="1"/>
    <xf numFmtId="10" fontId="8" fillId="0" borderId="2" xfId="0" applyNumberFormat="1" applyFont="1" applyFill="1" applyBorder="1" applyAlignment="1">
      <alignment horizontal="center" vertical="center" wrapText="1"/>
    </xf>
    <xf numFmtId="9" fontId="8" fillId="0" borderId="2" xfId="2" applyFont="1" applyFill="1" applyBorder="1" applyAlignment="1">
      <alignment horizontal="center" vertical="center" wrapText="1"/>
    </xf>
    <xf numFmtId="165" fontId="0" fillId="0" borderId="5" xfId="1" applyNumberFormat="1" applyFont="1" applyBorder="1" applyAlignment="1">
      <alignment vertical="center" wrapText="1"/>
    </xf>
    <xf numFmtId="0" fontId="27" fillId="0" borderId="0" xfId="0" applyFont="1"/>
    <xf numFmtId="0" fontId="3" fillId="0" borderId="2" xfId="0" applyFont="1" applyBorder="1" applyAlignment="1">
      <alignment horizontal="center" vertical="center"/>
    </xf>
    <xf numFmtId="0" fontId="3" fillId="0" borderId="2" xfId="0" applyFont="1" applyBorder="1" applyAlignment="1">
      <alignment horizontal="justify" vertical="center"/>
    </xf>
    <xf numFmtId="0" fontId="3" fillId="0" borderId="2" xfId="0" applyFont="1" applyBorder="1" applyAlignment="1">
      <alignment vertical="center"/>
    </xf>
    <xf numFmtId="0" fontId="3" fillId="0" borderId="2" xfId="0" applyFont="1" applyBorder="1" applyAlignment="1">
      <alignment vertical="center" wrapText="1"/>
    </xf>
    <xf numFmtId="0" fontId="28" fillId="0" borderId="2" xfId="0" applyFont="1" applyBorder="1" applyAlignment="1">
      <alignment horizontal="center" vertical="center"/>
    </xf>
    <xf numFmtId="0" fontId="28" fillId="0" borderId="2" xfId="0" applyFont="1" applyBorder="1" applyAlignment="1">
      <alignment horizontal="justify" vertical="center"/>
    </xf>
    <xf numFmtId="0" fontId="28" fillId="0" borderId="2" xfId="0" applyFont="1" applyBorder="1" applyAlignment="1">
      <alignment vertical="center" wrapText="1"/>
    </xf>
    <xf numFmtId="0" fontId="3" fillId="0" borderId="2" xfId="0" applyFont="1" applyBorder="1" applyAlignment="1">
      <alignment horizontal="justify" vertical="center" wrapText="1"/>
    </xf>
    <xf numFmtId="0" fontId="10" fillId="0" borderId="0" xfId="0" applyFont="1" applyAlignment="1">
      <alignment wrapText="1"/>
    </xf>
    <xf numFmtId="0" fontId="28" fillId="0" borderId="2" xfId="0" applyFont="1" applyBorder="1" applyAlignment="1">
      <alignment horizontal="justify" vertical="center" wrapText="1"/>
    </xf>
    <xf numFmtId="0" fontId="3" fillId="0" borderId="2" xfId="0" applyFont="1" applyBorder="1" applyAlignment="1">
      <alignment horizontal="left" vertical="center" wrapText="1" indent="1"/>
    </xf>
    <xf numFmtId="0" fontId="32" fillId="0" borderId="0" xfId="0" applyFont="1" applyAlignment="1">
      <alignment vertical="center"/>
    </xf>
    <xf numFmtId="0" fontId="33" fillId="0" borderId="0" xfId="0" applyFont="1" applyAlignment="1">
      <alignment vertical="center"/>
    </xf>
    <xf numFmtId="0" fontId="8" fillId="0" borderId="2" xfId="0" applyFont="1" applyBorder="1" applyAlignment="1">
      <alignment horizontal="left" vertical="center" wrapText="1" indent="1"/>
    </xf>
    <xf numFmtId="0" fontId="9" fillId="0" borderId="2" xfId="0" applyFont="1" applyBorder="1" applyAlignment="1">
      <alignment vertical="center" wrapText="1"/>
    </xf>
    <xf numFmtId="0" fontId="4" fillId="0" borderId="2" xfId="0" applyFont="1" applyBorder="1" applyAlignment="1">
      <alignment horizontal="center" vertical="center"/>
    </xf>
    <xf numFmtId="0" fontId="3" fillId="6" borderId="2" xfId="0" applyFont="1" applyFill="1" applyBorder="1" applyAlignment="1">
      <alignment horizontal="center" vertical="center" wrapText="1"/>
    </xf>
    <xf numFmtId="0" fontId="3" fillId="6" borderId="2" xfId="0" applyFont="1" applyFill="1" applyBorder="1" applyAlignment="1">
      <alignment vertical="center" wrapText="1"/>
    </xf>
    <xf numFmtId="0" fontId="28" fillId="6" borderId="2" xfId="0" applyFont="1" applyFill="1" applyBorder="1" applyAlignment="1">
      <alignment vertical="center" wrapText="1"/>
    </xf>
    <xf numFmtId="0" fontId="5" fillId="0" borderId="0" xfId="0" applyFont="1" applyAlignment="1">
      <alignment vertical="center"/>
    </xf>
    <xf numFmtId="0" fontId="7"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0" borderId="2" xfId="0" quotePrefix="1" applyFont="1" applyBorder="1" applyAlignment="1">
      <alignment horizontal="center"/>
    </xf>
    <xf numFmtId="0" fontId="28" fillId="4" borderId="2" xfId="3" applyFont="1" applyFill="1" applyBorder="1" applyAlignment="1">
      <alignment horizontal="left" vertical="center" wrapText="1" indent="1"/>
    </xf>
    <xf numFmtId="3" fontId="3" fillId="4" borderId="2" xfId="4" applyFont="1" applyFill="1" applyAlignment="1">
      <alignment horizontal="center" vertical="center"/>
      <protection locked="0"/>
    </xf>
    <xf numFmtId="0" fontId="7" fillId="4" borderId="2" xfId="0" applyFont="1" applyFill="1" applyBorder="1"/>
    <xf numFmtId="0" fontId="7" fillId="0" borderId="2" xfId="0" applyFont="1" applyBorder="1"/>
    <xf numFmtId="0" fontId="3" fillId="12" borderId="2" xfId="3" applyFont="1" applyFill="1" applyBorder="1" applyAlignment="1">
      <alignment horizontal="left" vertical="center" wrapText="1" indent="2"/>
    </xf>
    <xf numFmtId="3" fontId="3" fillId="0" borderId="2" xfId="4" applyFont="1" applyFill="1" applyAlignment="1">
      <alignment horizontal="center" vertical="center" wrapText="1"/>
      <protection locked="0"/>
    </xf>
    <xf numFmtId="3" fontId="3" fillId="0" borderId="2" xfId="4" quotePrefix="1" applyFont="1" applyFill="1" applyAlignment="1">
      <alignment horizontal="center" vertical="center" wrapText="1"/>
      <protection locked="0"/>
    </xf>
    <xf numFmtId="0" fontId="3" fillId="0" borderId="2" xfId="3" applyFont="1" applyBorder="1" applyAlignment="1">
      <alignment horizontal="left" vertical="center" wrapText="1" indent="3"/>
    </xf>
    <xf numFmtId="0" fontId="7" fillId="0" borderId="2" xfId="0" quotePrefix="1" applyFont="1" applyBorder="1" applyAlignment="1">
      <alignment horizontal="center" vertical="center"/>
    </xf>
    <xf numFmtId="3" fontId="37" fillId="10" borderId="2" xfId="4" applyFont="1" applyFill="1" applyAlignment="1">
      <alignment horizontal="center" vertical="center"/>
      <protection locked="0"/>
    </xf>
    <xf numFmtId="0" fontId="0" fillId="0" borderId="2" xfId="0" quotePrefix="1" applyBorder="1" applyAlignment="1">
      <alignment horizontal="center" vertical="center"/>
    </xf>
    <xf numFmtId="0" fontId="4" fillId="0" borderId="2" xfId="3" applyFont="1" applyBorder="1" applyAlignment="1">
      <alignment horizontal="left" vertical="center" wrapText="1" indent="1"/>
    </xf>
    <xf numFmtId="3" fontId="4" fillId="0" borderId="2" xfId="4" applyFont="1" applyFill="1" applyAlignment="1">
      <alignment horizontal="center" vertical="center"/>
      <protection locked="0"/>
    </xf>
    <xf numFmtId="0" fontId="34" fillId="0" borderId="0" xfId="0" applyFont="1"/>
    <xf numFmtId="0" fontId="34" fillId="0" borderId="0" xfId="0" applyFont="1" applyAlignment="1">
      <alignment vertical="center" wrapText="1"/>
    </xf>
    <xf numFmtId="0" fontId="11" fillId="0" borderId="5" xfId="0" applyFont="1" applyBorder="1" applyAlignment="1">
      <alignment horizontal="center" vertical="center"/>
    </xf>
    <xf numFmtId="0" fontId="8" fillId="0" borderId="13" xfId="0" applyFont="1" applyBorder="1" applyAlignment="1">
      <alignment horizontal="center" vertical="center" wrapText="1"/>
    </xf>
    <xf numFmtId="0" fontId="4" fillId="0" borderId="2" xfId="0" quotePrefix="1" applyFont="1" applyBorder="1"/>
    <xf numFmtId="0" fontId="0" fillId="0" borderId="2" xfId="0" quotePrefix="1" applyBorder="1" applyAlignment="1">
      <alignment wrapText="1"/>
    </xf>
    <xf numFmtId="0" fontId="4" fillId="0" borderId="2" xfId="0" quotePrefix="1" applyFont="1" applyBorder="1" applyAlignment="1">
      <alignment wrapText="1"/>
    </xf>
    <xf numFmtId="0" fontId="0" fillId="0" borderId="2" xfId="0" quotePrefix="1" applyBorder="1"/>
    <xf numFmtId="0" fontId="9" fillId="0" borderId="0" xfId="0" applyFont="1"/>
    <xf numFmtId="0" fontId="0" fillId="0" borderId="1" xfId="0" applyBorder="1"/>
    <xf numFmtId="0" fontId="4" fillId="0" borderId="2" xfId="5" applyFont="1" applyBorder="1" applyAlignment="1">
      <alignment vertical="center" wrapText="1"/>
    </xf>
    <xf numFmtId="0" fontId="4" fillId="4" borderId="2" xfId="0" applyFont="1" applyFill="1" applyBorder="1" applyAlignment="1">
      <alignment horizontal="center"/>
    </xf>
    <xf numFmtId="0" fontId="4" fillId="4" borderId="2" xfId="0" quotePrefix="1" applyFont="1" applyFill="1" applyBorder="1" applyAlignment="1">
      <alignment wrapText="1"/>
    </xf>
    <xf numFmtId="0" fontId="0" fillId="4" borderId="2" xfId="0" quotePrefix="1" applyFill="1" applyBorder="1" applyAlignment="1">
      <alignment wrapText="1"/>
    </xf>
    <xf numFmtId="0" fontId="8" fillId="7" borderId="2" xfId="0" applyFont="1" applyFill="1" applyBorder="1" applyAlignment="1">
      <alignment vertical="center" wrapText="1"/>
    </xf>
    <xf numFmtId="0" fontId="4" fillId="0" borderId="2" xfId="0" applyFont="1" applyBorder="1" applyAlignment="1">
      <alignment horizontal="justify" vertical="top"/>
    </xf>
    <xf numFmtId="0" fontId="4" fillId="0" borderId="2" xfId="5" applyFont="1" applyBorder="1" applyAlignment="1">
      <alignment horizontal="justify" vertical="top"/>
    </xf>
    <xf numFmtId="0" fontId="0" fillId="0" borderId="2" xfId="0" applyBorder="1" applyAlignment="1">
      <alignment horizontal="left" vertical="center" wrapText="1" indent="1"/>
    </xf>
    <xf numFmtId="0" fontId="0" fillId="4" borderId="2" xfId="0" applyFill="1" applyBorder="1" applyAlignment="1">
      <alignment horizontal="center" vertical="center"/>
    </xf>
    <xf numFmtId="0" fontId="11" fillId="4" borderId="2" xfId="0" applyFont="1" applyFill="1" applyBorder="1" applyAlignment="1">
      <alignment horizontal="justify" vertical="top"/>
    </xf>
    <xf numFmtId="0" fontId="4" fillId="0" borderId="2" xfId="0" applyFont="1" applyBorder="1" applyAlignment="1">
      <alignment horizontal="justify" vertical="center"/>
    </xf>
    <xf numFmtId="0" fontId="4" fillId="0" borderId="2" xfId="0" applyFont="1" applyBorder="1" applyAlignment="1">
      <alignment horizontal="justify" vertical="top" wrapText="1"/>
    </xf>
    <xf numFmtId="0" fontId="4" fillId="4" borderId="2" xfId="5" applyFont="1" applyFill="1" applyBorder="1" applyAlignment="1">
      <alignment horizontal="justify" vertical="center"/>
    </xf>
    <xf numFmtId="0" fontId="0" fillId="4" borderId="2" xfId="5" applyFont="1" applyFill="1" applyBorder="1" applyAlignment="1">
      <alignment horizontal="justify" vertical="top"/>
    </xf>
    <xf numFmtId="0" fontId="5" fillId="0" borderId="2" xfId="0" applyFont="1" applyBorder="1" applyAlignment="1">
      <alignment vertical="center"/>
    </xf>
    <xf numFmtId="0" fontId="4" fillId="4" borderId="2" xfId="0" applyFont="1" applyFill="1" applyBorder="1" applyAlignment="1">
      <alignment horizontal="center" vertical="center"/>
    </xf>
    <xf numFmtId="0" fontId="5" fillId="4" borderId="2" xfId="0" applyFont="1" applyFill="1" applyBorder="1" applyAlignment="1">
      <alignment horizontal="justify" vertical="center"/>
    </xf>
    <xf numFmtId="0" fontId="0" fillId="0" borderId="2" xfId="0" applyBorder="1" applyAlignment="1">
      <alignment horizontal="center"/>
    </xf>
    <xf numFmtId="0" fontId="9" fillId="7" borderId="2" xfId="0" applyFont="1" applyFill="1" applyBorder="1" applyAlignment="1">
      <alignment vertical="center" wrapText="1"/>
    </xf>
    <xf numFmtId="0" fontId="8" fillId="7" borderId="2" xfId="0" applyFont="1" applyFill="1" applyBorder="1" applyAlignment="1">
      <alignment horizontal="left" vertical="center" wrapText="1" indent="1"/>
    </xf>
    <xf numFmtId="0" fontId="4" fillId="7" borderId="2" xfId="0" applyFont="1" applyFill="1" applyBorder="1" applyAlignment="1">
      <alignment horizontal="left" vertical="center" wrapText="1" indent="1"/>
    </xf>
    <xf numFmtId="0" fontId="27"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8" fillId="7" borderId="0" xfId="0" applyFont="1" applyFill="1" applyAlignment="1">
      <alignment vertical="center" wrapText="1"/>
    </xf>
    <xf numFmtId="0" fontId="11" fillId="0" borderId="0" xfId="0" applyFont="1" applyAlignment="1">
      <alignment vertical="center"/>
    </xf>
    <xf numFmtId="0" fontId="42" fillId="0" borderId="0" xfId="0" applyFont="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11" fillId="13" borderId="20" xfId="0" applyFont="1" applyFill="1" applyBorder="1" applyAlignment="1">
      <alignment vertical="center"/>
    </xf>
    <xf numFmtId="0" fontId="11" fillId="13" borderId="26" xfId="0" applyFont="1" applyFill="1" applyBorder="1" applyAlignment="1">
      <alignment vertical="center"/>
    </xf>
    <xf numFmtId="0" fontId="11" fillId="13" borderId="26" xfId="0" applyFont="1" applyFill="1" applyBorder="1" applyAlignment="1">
      <alignment horizontal="center" vertical="center"/>
    </xf>
    <xf numFmtId="0" fontId="11" fillId="13" borderId="31" xfId="0" applyFont="1" applyFill="1" applyBorder="1" applyAlignment="1">
      <alignment vertical="center"/>
    </xf>
    <xf numFmtId="0" fontId="0" fillId="15" borderId="33" xfId="0" applyFill="1" applyBorder="1" applyAlignment="1">
      <alignment vertical="center" wrapText="1"/>
    </xf>
    <xf numFmtId="0" fontId="11" fillId="15" borderId="20" xfId="0" applyFont="1" applyFill="1" applyBorder="1" applyAlignment="1">
      <alignment vertical="center" wrapText="1"/>
    </xf>
    <xf numFmtId="0" fontId="11" fillId="15" borderId="21" xfId="0" applyFont="1" applyFill="1" applyBorder="1" applyAlignment="1">
      <alignment vertical="center" wrapText="1"/>
    </xf>
    <xf numFmtId="0" fontId="0" fillId="0" borderId="32" xfId="0" applyBorder="1" applyAlignment="1">
      <alignment horizontal="center" vertical="center"/>
    </xf>
    <xf numFmtId="0" fontId="15" fillId="0" borderId="33" xfId="0" applyFont="1" applyBorder="1" applyAlignment="1">
      <alignment horizontal="left" vertical="center" wrapText="1" indent="2"/>
    </xf>
    <xf numFmtId="0" fontId="0" fillId="15" borderId="32" xfId="0" applyFill="1" applyBorder="1" applyAlignment="1">
      <alignment horizontal="center" vertical="center"/>
    </xf>
    <xf numFmtId="0" fontId="15" fillId="0" borderId="35" xfId="0" applyFont="1" applyBorder="1" applyAlignment="1">
      <alignment horizontal="left" vertical="center" wrapText="1" indent="2"/>
    </xf>
    <xf numFmtId="0" fontId="11" fillId="0" borderId="32" xfId="0" applyFont="1" applyBorder="1" applyAlignment="1">
      <alignment horizontal="center" vertical="center"/>
    </xf>
    <xf numFmtId="0" fontId="11" fillId="0" borderId="33" xfId="0" applyFont="1" applyBorder="1" applyAlignment="1">
      <alignment vertical="center" wrapText="1"/>
    </xf>
    <xf numFmtId="0" fontId="0" fillId="10" borderId="20" xfId="0" applyFill="1" applyBorder="1" applyAlignment="1">
      <alignment vertical="center"/>
    </xf>
    <xf numFmtId="0" fontId="0" fillId="10" borderId="21" xfId="0" applyFill="1" applyBorder="1" applyAlignment="1">
      <alignment vertical="center"/>
    </xf>
    <xf numFmtId="0" fontId="0" fillId="10" borderId="20" xfId="0" applyFill="1" applyBorder="1" applyAlignment="1">
      <alignment vertical="center" wrapText="1"/>
    </xf>
    <xf numFmtId="0" fontId="0" fillId="10" borderId="20" xfId="0" applyFill="1" applyBorder="1" applyAlignment="1">
      <alignment horizontal="center" vertical="center" wrapText="1"/>
    </xf>
    <xf numFmtId="0" fontId="11" fillId="15" borderId="21" xfId="0" applyFont="1" applyFill="1" applyBorder="1" applyAlignment="1">
      <alignment horizontal="center" vertical="center" wrapText="1"/>
    </xf>
    <xf numFmtId="0" fontId="43" fillId="0" borderId="33" xfId="0" applyFont="1" applyBorder="1" applyAlignment="1">
      <alignment horizontal="left" vertical="center" wrapText="1" indent="2"/>
    </xf>
    <xf numFmtId="0" fontId="15" fillId="0" borderId="33" xfId="0" applyFont="1" applyBorder="1" applyAlignment="1">
      <alignment horizontal="left" vertical="center" wrapText="1" indent="4"/>
    </xf>
    <xf numFmtId="0" fontId="0" fillId="10" borderId="21" xfId="0" applyFill="1" applyBorder="1" applyAlignment="1">
      <alignment vertical="center" wrapText="1"/>
    </xf>
    <xf numFmtId="0" fontId="0" fillId="16" borderId="20" xfId="0" applyFill="1" applyBorder="1" applyAlignment="1">
      <alignment vertical="center" wrapText="1"/>
    </xf>
    <xf numFmtId="0" fontId="0" fillId="10" borderId="21" xfId="0" applyFill="1" applyBorder="1" applyAlignment="1">
      <alignment horizontal="center" vertical="center"/>
    </xf>
    <xf numFmtId="0" fontId="11" fillId="0" borderId="22" xfId="0" applyFont="1" applyBorder="1" applyAlignment="1">
      <alignment vertical="center" wrapText="1"/>
    </xf>
    <xf numFmtId="164" fontId="0" fillId="0" borderId="2" xfId="1" applyFont="1" applyBorder="1"/>
    <xf numFmtId="164" fontId="8" fillId="7" borderId="2" xfId="1" applyFont="1" applyFill="1" applyBorder="1" applyAlignment="1">
      <alignment vertical="center" wrapText="1"/>
    </xf>
    <xf numFmtId="164" fontId="0" fillId="7" borderId="2" xfId="1" applyFont="1" applyFill="1" applyBorder="1" applyAlignment="1">
      <alignment vertical="center" wrapText="1"/>
    </xf>
    <xf numFmtId="164" fontId="35" fillId="7" borderId="2" xfId="1" applyFont="1" applyFill="1" applyBorder="1" applyAlignment="1">
      <alignment vertical="center" wrapText="1"/>
    </xf>
    <xf numFmtId="164" fontId="8" fillId="0" borderId="2" xfId="1" applyFont="1" applyBorder="1" applyAlignment="1">
      <alignment horizontal="center" vertical="center"/>
    </xf>
    <xf numFmtId="164" fontId="8" fillId="0" borderId="2" xfId="1" applyFont="1" applyBorder="1" applyAlignment="1">
      <alignment vertical="center"/>
    </xf>
    <xf numFmtId="165" fontId="8" fillId="0" borderId="2" xfId="1" applyNumberFormat="1" applyFont="1" applyBorder="1" applyAlignment="1">
      <alignment vertical="center"/>
    </xf>
    <xf numFmtId="164" fontId="8" fillId="0" borderId="2" xfId="1" applyNumberFormat="1" applyFont="1" applyBorder="1" applyAlignment="1">
      <alignment vertical="center"/>
    </xf>
    <xf numFmtId="165" fontId="8" fillId="7" borderId="2" xfId="1" applyNumberFormat="1" applyFont="1" applyFill="1" applyBorder="1" applyAlignment="1">
      <alignment horizontal="center" vertical="center" wrapText="1"/>
    </xf>
    <xf numFmtId="165" fontId="8" fillId="0" borderId="2" xfId="1" applyNumberFormat="1" applyFont="1" applyBorder="1" applyAlignment="1">
      <alignment horizontal="center" vertical="center"/>
    </xf>
    <xf numFmtId="0" fontId="0" fillId="0" borderId="2" xfId="0" applyBorder="1" applyAlignment="1">
      <alignment horizontal="center"/>
    </xf>
    <xf numFmtId="0" fontId="0" fillId="0" borderId="11" xfId="0" applyFill="1" applyBorder="1" applyAlignment="1">
      <alignment horizontal="center" vertical="center"/>
    </xf>
    <xf numFmtId="165" fontId="0" fillId="7" borderId="11" xfId="1" applyNumberFormat="1" applyFont="1" applyFill="1" applyBorder="1" applyAlignment="1">
      <alignment vertical="center" wrapText="1"/>
    </xf>
    <xf numFmtId="165" fontId="0" fillId="7" borderId="0" xfId="1" applyNumberFormat="1" applyFont="1" applyFill="1" applyBorder="1" applyAlignment="1">
      <alignment vertical="center" wrapText="1"/>
    </xf>
    <xf numFmtId="165" fontId="11" fillId="15" borderId="20" xfId="1" applyNumberFormat="1" applyFont="1" applyFill="1" applyBorder="1" applyAlignment="1">
      <alignment vertical="center" wrapText="1"/>
    </xf>
    <xf numFmtId="165" fontId="11" fillId="15" borderId="21" xfId="1" applyNumberFormat="1" applyFont="1" applyFill="1" applyBorder="1" applyAlignment="1">
      <alignment vertical="center" wrapText="1"/>
    </xf>
    <xf numFmtId="165" fontId="0" fillId="0" borderId="20" xfId="1" applyNumberFormat="1" applyFont="1" applyBorder="1" applyAlignment="1">
      <alignment vertical="center"/>
    </xf>
    <xf numFmtId="165" fontId="0" fillId="0" borderId="21" xfId="1" applyNumberFormat="1" applyFont="1" applyBorder="1" applyAlignment="1">
      <alignment vertical="center"/>
    </xf>
    <xf numFmtId="165" fontId="0" fillId="0" borderId="33" xfId="1" applyNumberFormat="1" applyFont="1" applyBorder="1" applyAlignment="1">
      <alignment horizontal="center" vertical="center" wrapText="1"/>
    </xf>
    <xf numFmtId="165" fontId="0" fillId="0" borderId="34" xfId="1" applyNumberFormat="1" applyFont="1" applyBorder="1" applyAlignment="1">
      <alignment horizontal="center" vertical="center" wrapText="1"/>
    </xf>
    <xf numFmtId="165" fontId="15" fillId="10" borderId="20" xfId="1" applyNumberFormat="1" applyFont="1" applyFill="1" applyBorder="1" applyAlignment="1">
      <alignment vertical="center" wrapText="1"/>
    </xf>
    <xf numFmtId="165" fontId="11" fillId="15" borderId="33" xfId="1" applyNumberFormat="1" applyFont="1" applyFill="1" applyBorder="1" applyAlignment="1">
      <alignment horizontal="center" vertical="center" wrapText="1"/>
    </xf>
    <xf numFmtId="165" fontId="0" fillId="0" borderId="20" xfId="1" applyNumberFormat="1" applyFont="1" applyBorder="1" applyAlignment="1">
      <alignment vertical="center" wrapText="1"/>
    </xf>
    <xf numFmtId="165" fontId="0" fillId="0" borderId="21" xfId="1" applyNumberFormat="1" applyFont="1" applyBorder="1" applyAlignment="1">
      <alignment vertical="center" wrapText="1"/>
    </xf>
    <xf numFmtId="165" fontId="0" fillId="9" borderId="20" xfId="1" applyNumberFormat="1" applyFont="1" applyFill="1" applyBorder="1" applyAlignment="1">
      <alignment vertical="center" wrapText="1"/>
    </xf>
    <xf numFmtId="165" fontId="15" fillId="10" borderId="21" xfId="1" applyNumberFormat="1" applyFont="1" applyFill="1" applyBorder="1" applyAlignment="1">
      <alignment vertical="center" wrapText="1"/>
    </xf>
    <xf numFmtId="165" fontId="15" fillId="10" borderId="33" xfId="1" applyNumberFormat="1" applyFont="1" applyFill="1" applyBorder="1" applyAlignment="1">
      <alignment vertical="center" wrapText="1"/>
    </xf>
    <xf numFmtId="165" fontId="0" fillId="10" borderId="20" xfId="1" applyNumberFormat="1" applyFont="1" applyFill="1" applyBorder="1" applyAlignment="1">
      <alignment vertical="center"/>
    </xf>
    <xf numFmtId="165" fontId="0" fillId="10" borderId="21" xfId="1" applyNumberFormat="1" applyFont="1" applyFill="1" applyBorder="1" applyAlignment="1">
      <alignment vertical="center"/>
    </xf>
    <xf numFmtId="165" fontId="0" fillId="10" borderId="33" xfId="1" applyNumberFormat="1" applyFont="1" applyFill="1" applyBorder="1" applyAlignment="1">
      <alignment vertical="center"/>
    </xf>
    <xf numFmtId="165" fontId="4" fillId="9" borderId="20" xfId="1" applyNumberFormat="1" applyFont="1" applyFill="1" applyBorder="1" applyAlignment="1">
      <alignment vertical="center" wrapText="1"/>
    </xf>
    <xf numFmtId="165" fontId="4" fillId="9" borderId="21" xfId="1" applyNumberFormat="1" applyFont="1" applyFill="1" applyBorder="1" applyAlignment="1">
      <alignment vertical="center" wrapText="1"/>
    </xf>
    <xf numFmtId="165" fontId="0" fillId="0" borderId="21" xfId="1" applyNumberFormat="1" applyFont="1" applyBorder="1" applyAlignment="1">
      <alignment horizontal="center" vertical="center" wrapText="1"/>
    </xf>
    <xf numFmtId="165" fontId="11" fillId="9" borderId="20" xfId="1" applyNumberFormat="1" applyFont="1" applyFill="1" applyBorder="1" applyAlignment="1">
      <alignment vertical="center" wrapText="1"/>
    </xf>
    <xf numFmtId="165" fontId="11" fillId="9" borderId="21" xfId="1" applyNumberFormat="1" applyFont="1" applyFill="1" applyBorder="1" applyAlignment="1">
      <alignment vertical="center" wrapText="1"/>
    </xf>
    <xf numFmtId="165" fontId="11" fillId="9" borderId="21" xfId="1" applyNumberFormat="1" applyFont="1" applyFill="1" applyBorder="1" applyAlignment="1">
      <alignment horizontal="center" vertical="center" wrapText="1"/>
    </xf>
    <xf numFmtId="165" fontId="11" fillId="9" borderId="34" xfId="1" quotePrefix="1" applyNumberFormat="1" applyFont="1" applyFill="1" applyBorder="1" applyAlignment="1">
      <alignment horizontal="center" vertical="center" wrapText="1"/>
    </xf>
    <xf numFmtId="165" fontId="11" fillId="10" borderId="20" xfId="1" applyNumberFormat="1" applyFont="1" applyFill="1" applyBorder="1" applyAlignment="1">
      <alignment vertical="center" wrapText="1"/>
    </xf>
    <xf numFmtId="165" fontId="11" fillId="10" borderId="21" xfId="1" applyNumberFormat="1" applyFont="1" applyFill="1" applyBorder="1" applyAlignment="1">
      <alignment vertical="center" wrapText="1"/>
    </xf>
    <xf numFmtId="165" fontId="11" fillId="10" borderId="21" xfId="1" applyNumberFormat="1" applyFont="1" applyFill="1" applyBorder="1" applyAlignment="1">
      <alignment horizontal="center" vertical="center" wrapText="1"/>
    </xf>
    <xf numFmtId="165" fontId="11" fillId="15" borderId="21" xfId="1" applyNumberFormat="1" applyFont="1" applyFill="1" applyBorder="1" applyAlignment="1">
      <alignment horizontal="center" vertical="center" wrapText="1"/>
    </xf>
    <xf numFmtId="168" fontId="11" fillId="0" borderId="34" xfId="0" applyNumberFormat="1" applyFont="1" applyBorder="1" applyAlignment="1">
      <alignment horizontal="center" vertical="center"/>
    </xf>
    <xf numFmtId="165" fontId="11" fillId="15" borderId="20" xfId="1" quotePrefix="1" applyNumberFormat="1" applyFont="1" applyFill="1" applyBorder="1" applyAlignment="1">
      <alignment vertical="center" wrapText="1"/>
    </xf>
    <xf numFmtId="9" fontId="0" fillId="0" borderId="22" xfId="2" applyFont="1" applyBorder="1" applyAlignment="1">
      <alignmen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44" fillId="0" borderId="0" xfId="0" applyFont="1" applyAlignment="1">
      <alignment vertical="center"/>
    </xf>
    <xf numFmtId="0" fontId="39" fillId="0" borderId="0" xfId="0" applyFont="1"/>
    <xf numFmtId="0" fontId="39" fillId="0" borderId="0" xfId="0" applyFont="1" applyAlignment="1">
      <alignment vertical="center" wrapText="1"/>
    </xf>
    <xf numFmtId="0" fontId="45" fillId="0" borderId="21"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16" xfId="0" applyFont="1" applyBorder="1" applyAlignment="1">
      <alignment vertical="center" wrapText="1"/>
    </xf>
    <xf numFmtId="0" fontId="45" fillId="9" borderId="16" xfId="0" applyFont="1" applyFill="1" applyBorder="1" applyAlignment="1">
      <alignment horizontal="center" vertical="center" wrapText="1"/>
    </xf>
    <xf numFmtId="0" fontId="45" fillId="9" borderId="33" xfId="0" applyFont="1" applyFill="1" applyBorder="1" applyAlignment="1">
      <alignment horizontal="center" vertical="center" wrapText="1"/>
    </xf>
    <xf numFmtId="0" fontId="45" fillId="0" borderId="25" xfId="0" applyFont="1" applyBorder="1" applyAlignment="1">
      <alignment horizontal="center" vertical="center" wrapText="1"/>
    </xf>
    <xf numFmtId="49" fontId="45" fillId="0" borderId="21" xfId="0" applyNumberFormat="1" applyFont="1" applyBorder="1" applyAlignment="1">
      <alignment horizontal="center" vertical="center" wrapText="1"/>
    </xf>
    <xf numFmtId="0" fontId="45" fillId="0" borderId="22" xfId="0" applyFont="1" applyBorder="1" applyAlignment="1">
      <alignment vertical="center" wrapText="1"/>
    </xf>
    <xf numFmtId="0" fontId="45" fillId="0" borderId="33" xfId="0" applyFont="1" applyBorder="1" applyAlignment="1">
      <alignment vertical="center" wrapText="1"/>
    </xf>
    <xf numFmtId="49" fontId="46" fillId="7" borderId="32" xfId="0" applyNumberFormat="1" applyFont="1" applyFill="1" applyBorder="1" applyAlignment="1">
      <alignment horizontal="center" vertical="center" wrapText="1"/>
    </xf>
    <xf numFmtId="0" fontId="46" fillId="7" borderId="33" xfId="0" applyFont="1" applyFill="1" applyBorder="1" applyAlignment="1">
      <alignment horizontal="left" vertical="center" wrapText="1" indent="1"/>
    </xf>
    <xf numFmtId="0" fontId="46" fillId="7" borderId="33" xfId="0" applyFont="1" applyFill="1" applyBorder="1" applyAlignment="1">
      <alignment vertical="center" wrapText="1"/>
    </xf>
    <xf numFmtId="49" fontId="45" fillId="0" borderId="32" xfId="0" applyNumberFormat="1" applyFont="1" applyBorder="1" applyAlignment="1">
      <alignment horizontal="center" vertical="center" wrapText="1"/>
    </xf>
    <xf numFmtId="0" fontId="47" fillId="0" borderId="33" xfId="0" applyFont="1" applyBorder="1" applyAlignment="1">
      <alignment vertical="center" wrapText="1"/>
    </xf>
    <xf numFmtId="49" fontId="47" fillId="0" borderId="32" xfId="0" applyNumberFormat="1" applyFont="1" applyBorder="1" applyAlignment="1">
      <alignment horizontal="center" vertical="center" wrapText="1"/>
    </xf>
    <xf numFmtId="0" fontId="48" fillId="0" borderId="0" xfId="0" applyFont="1" applyAlignment="1">
      <alignment vertical="center"/>
    </xf>
    <xf numFmtId="0" fontId="4" fillId="0" borderId="2" xfId="0" applyFont="1" applyBorder="1" applyAlignment="1">
      <alignment wrapText="1"/>
    </xf>
    <xf numFmtId="0" fontId="49" fillId="0" borderId="2" xfId="0" applyFont="1" applyBorder="1" applyAlignment="1">
      <alignment horizontal="center" vertical="center"/>
    </xf>
    <xf numFmtId="0" fontId="49" fillId="0" borderId="2" xfId="0" applyFont="1" applyBorder="1" applyAlignment="1">
      <alignment wrapText="1"/>
    </xf>
    <xf numFmtId="0" fontId="45" fillId="0" borderId="32" xfId="0" applyFont="1" applyBorder="1" applyAlignment="1">
      <alignment horizontal="center" vertical="center" wrapText="1"/>
    </xf>
    <xf numFmtId="0" fontId="51" fillId="0" borderId="33" xfId="0" applyFont="1" applyBorder="1" applyAlignment="1">
      <alignment vertical="center" wrapText="1"/>
    </xf>
    <xf numFmtId="0" fontId="51" fillId="0" borderId="32" xfId="0" applyFont="1" applyBorder="1" applyAlignment="1">
      <alignment vertical="center" wrapText="1"/>
    </xf>
    <xf numFmtId="0" fontId="51" fillId="17" borderId="33" xfId="0" applyFont="1" applyFill="1" applyBorder="1" applyAlignment="1">
      <alignment vertical="center" wrapText="1"/>
    </xf>
    <xf numFmtId="0" fontId="45" fillId="0" borderId="0" xfId="0" applyFont="1" applyAlignment="1">
      <alignment vertical="center" wrapText="1"/>
    </xf>
    <xf numFmtId="0" fontId="45" fillId="0" borderId="28" xfId="0" applyFont="1" applyBorder="1" applyAlignment="1">
      <alignment horizontal="center" vertical="center" wrapText="1"/>
    </xf>
    <xf numFmtId="0" fontId="45" fillId="9" borderId="28" xfId="0" applyFont="1" applyFill="1" applyBorder="1" applyAlignment="1">
      <alignment horizontal="center" vertical="center" wrapText="1"/>
    </xf>
    <xf numFmtId="0" fontId="45" fillId="9" borderId="44" xfId="0" applyFont="1" applyFill="1" applyBorder="1" applyAlignment="1">
      <alignment horizontal="center" vertical="center" wrapText="1"/>
    </xf>
    <xf numFmtId="49" fontId="52" fillId="7" borderId="32" xfId="0" applyNumberFormat="1" applyFont="1" applyFill="1" applyBorder="1" applyAlignment="1">
      <alignment horizontal="center" vertical="center" wrapText="1"/>
    </xf>
    <xf numFmtId="49" fontId="53" fillId="7" borderId="32" xfId="0" applyNumberFormat="1" applyFont="1" applyFill="1" applyBorder="1" applyAlignment="1">
      <alignment horizontal="center" vertical="center" wrapText="1"/>
    </xf>
    <xf numFmtId="3" fontId="4" fillId="0" borderId="2" xfId="0" applyNumberFormat="1" applyFont="1" applyBorder="1" applyAlignment="1">
      <alignment vertical="center" wrapText="1"/>
    </xf>
    <xf numFmtId="3" fontId="4" fillId="2" borderId="2" xfId="0" applyNumberFormat="1" applyFont="1" applyFill="1" applyBorder="1" applyAlignment="1">
      <alignment vertical="center" wrapText="1"/>
    </xf>
    <xf numFmtId="3" fontId="5" fillId="0" borderId="2" xfId="0" applyNumberFormat="1" applyFont="1" applyBorder="1" applyAlignment="1">
      <alignment vertical="center" wrapText="1"/>
    </xf>
    <xf numFmtId="0" fontId="7" fillId="0" borderId="0" xfId="0" applyFont="1" applyFill="1"/>
    <xf numFmtId="0" fontId="0" fillId="0" borderId="0" xfId="0" applyFill="1"/>
    <xf numFmtId="0" fontId="0" fillId="0" borderId="2" xfId="0" applyFont="1" applyBorder="1" applyAlignment="1">
      <alignment vertical="center" wrapText="1"/>
    </xf>
    <xf numFmtId="0" fontId="0" fillId="8" borderId="2" xfId="0" applyFont="1" applyFill="1" applyBorder="1" applyAlignment="1">
      <alignment vertical="center" wrapText="1"/>
    </xf>
    <xf numFmtId="3" fontId="0" fillId="0" borderId="2" xfId="0" applyNumberFormat="1" applyFont="1" applyFill="1" applyBorder="1" applyAlignment="1">
      <alignment vertical="center" wrapText="1"/>
    </xf>
    <xf numFmtId="3" fontId="0" fillId="0" borderId="2" xfId="0" applyNumberFormat="1" applyFont="1" applyBorder="1" applyAlignment="1">
      <alignment vertical="center" wrapText="1"/>
    </xf>
    <xf numFmtId="3" fontId="0" fillId="7" borderId="2" xfId="0" applyNumberFormat="1" applyFont="1" applyFill="1" applyBorder="1" applyAlignment="1">
      <alignment vertical="center" wrapText="1"/>
    </xf>
    <xf numFmtId="3" fontId="0" fillId="0" borderId="0" xfId="0" applyNumberFormat="1"/>
    <xf numFmtId="165" fontId="11" fillId="0" borderId="5" xfId="1" applyNumberFormat="1" applyFont="1" applyBorder="1" applyAlignment="1">
      <alignment vertical="center" wrapText="1"/>
    </xf>
    <xf numFmtId="3" fontId="11" fillId="0" borderId="2" xfId="0" applyNumberFormat="1" applyFont="1" applyFill="1" applyBorder="1" applyAlignment="1">
      <alignment vertical="center" wrapText="1"/>
    </xf>
    <xf numFmtId="3" fontId="11" fillId="0" borderId="2" xfId="0" applyNumberFormat="1" applyFont="1" applyBorder="1" applyAlignment="1">
      <alignment vertical="center" wrapText="1"/>
    </xf>
    <xf numFmtId="3" fontId="11" fillId="7" borderId="2" xfId="0" applyNumberFormat="1" applyFont="1" applyFill="1" applyBorder="1" applyAlignment="1">
      <alignment vertical="center" wrapText="1"/>
    </xf>
    <xf numFmtId="3" fontId="0" fillId="0" borderId="2" xfId="0" applyNumberFormat="1" applyBorder="1" applyAlignment="1">
      <alignment vertical="center" wrapText="1"/>
    </xf>
    <xf numFmtId="3" fontId="0" fillId="0" borderId="2" xfId="0" applyNumberFormat="1" applyBorder="1" applyAlignment="1">
      <alignment horizontal="center" vertical="center" wrapText="1"/>
    </xf>
    <xf numFmtId="3" fontId="0" fillId="4" borderId="2" xfId="0" applyNumberFormat="1" applyFill="1" applyBorder="1" applyAlignment="1">
      <alignment vertical="center" wrapText="1"/>
    </xf>
    <xf numFmtId="3" fontId="3" fillId="0" borderId="2" xfId="0" applyNumberFormat="1" applyFont="1" applyBorder="1" applyAlignment="1">
      <alignment vertical="center"/>
    </xf>
    <xf numFmtId="3" fontId="28" fillId="0" borderId="2" xfId="0" applyNumberFormat="1" applyFont="1" applyBorder="1" applyAlignment="1">
      <alignment vertical="center"/>
    </xf>
    <xf numFmtId="167" fontId="3" fillId="0" borderId="2" xfId="2" applyNumberFormat="1" applyFont="1" applyBorder="1" applyAlignment="1">
      <alignment vertical="center"/>
    </xf>
    <xf numFmtId="3" fontId="4" fillId="0" borderId="2" xfId="1" quotePrefix="1" applyNumberFormat="1" applyFont="1" applyFill="1" applyBorder="1"/>
    <xf numFmtId="3" fontId="4" fillId="0" borderId="2" xfId="0" quotePrefix="1" applyNumberFormat="1" applyFont="1" applyFill="1" applyBorder="1"/>
    <xf numFmtId="3" fontId="0" fillId="0" borderId="2" xfId="0" quotePrefix="1" applyNumberFormat="1" applyFill="1" applyBorder="1" applyAlignment="1">
      <alignment wrapText="1"/>
    </xf>
    <xf numFmtId="3" fontId="10" fillId="0" borderId="2" xfId="0" quotePrefix="1" applyNumberFormat="1" applyFont="1" applyFill="1" applyBorder="1" applyAlignment="1">
      <alignment wrapText="1"/>
    </xf>
    <xf numFmtId="3" fontId="4" fillId="0" borderId="2" xfId="0" quotePrefix="1" applyNumberFormat="1" applyFont="1" applyFill="1" applyBorder="1" applyAlignment="1">
      <alignment wrapText="1"/>
    </xf>
    <xf numFmtId="3" fontId="0" fillId="0" borderId="2" xfId="1" quotePrefix="1" applyNumberFormat="1" applyFont="1" applyFill="1" applyBorder="1" applyAlignment="1">
      <alignment wrapText="1"/>
    </xf>
    <xf numFmtId="3" fontId="0" fillId="0" borderId="2" xfId="0" quotePrefix="1" applyNumberFormat="1" applyFill="1" applyBorder="1"/>
    <xf numFmtId="3" fontId="0" fillId="0" borderId="2" xfId="0" quotePrefix="1" applyNumberFormat="1" applyBorder="1"/>
    <xf numFmtId="3" fontId="4" fillId="0" borderId="2" xfId="0" quotePrefix="1" applyNumberFormat="1" applyFont="1" applyBorder="1" applyAlignment="1">
      <alignment wrapText="1"/>
    </xf>
    <xf numFmtId="3" fontId="4" fillId="0" borderId="2" xfId="0" quotePrefix="1" applyNumberFormat="1" applyFont="1" applyBorder="1"/>
    <xf numFmtId="3" fontId="4" fillId="0" borderId="2" xfId="0" applyNumberFormat="1" applyFont="1" applyBorder="1"/>
    <xf numFmtId="3" fontId="0" fillId="4" borderId="2" xfId="0" quotePrefix="1" applyNumberFormat="1" applyFill="1" applyBorder="1" applyAlignment="1">
      <alignment wrapText="1"/>
    </xf>
    <xf numFmtId="3" fontId="5" fillId="4" borderId="2" xfId="0" applyNumberFormat="1" applyFont="1" applyFill="1" applyBorder="1" applyAlignment="1">
      <alignment horizontal="right" vertical="top"/>
    </xf>
    <xf numFmtId="167" fontId="4" fillId="0" borderId="2" xfId="2" quotePrefix="1" applyNumberFormat="1" applyFont="1" applyBorder="1" applyAlignment="1">
      <alignment wrapText="1"/>
    </xf>
    <xf numFmtId="167" fontId="4" fillId="0" borderId="2" xfId="0" quotePrefix="1" applyNumberFormat="1" applyFont="1" applyBorder="1" applyAlignment="1">
      <alignment wrapText="1"/>
    </xf>
    <xf numFmtId="167" fontId="4" fillId="0" borderId="2" xfId="2" quotePrefix="1" applyNumberFormat="1" applyFont="1" applyBorder="1"/>
    <xf numFmtId="167" fontId="0" fillId="0" borderId="2" xfId="0" quotePrefix="1" applyNumberFormat="1" applyBorder="1"/>
    <xf numFmtId="0" fontId="11" fillId="0" borderId="2" xfId="0" applyFont="1" applyBorder="1" applyAlignment="1">
      <alignment wrapText="1"/>
    </xf>
    <xf numFmtId="3" fontId="0" fillId="0" borderId="2" xfId="0" quotePrefix="1" applyNumberFormat="1" applyBorder="1" applyAlignment="1">
      <alignment wrapText="1"/>
    </xf>
    <xf numFmtId="0" fontId="54" fillId="0" borderId="2" xfId="0" applyFont="1" applyBorder="1" applyAlignment="1">
      <alignment horizontal="right"/>
    </xf>
    <xf numFmtId="0" fontId="34" fillId="0" borderId="0" xfId="0" applyFont="1" applyAlignment="1">
      <alignment horizontal="left" vertical="center"/>
    </xf>
    <xf numFmtId="0" fontId="4" fillId="0" borderId="0" xfId="0" applyFont="1" applyAlignment="1">
      <alignment vertical="center"/>
    </xf>
    <xf numFmtId="3" fontId="45" fillId="0" borderId="22" xfId="0" applyNumberFormat="1" applyFont="1" applyBorder="1" applyAlignment="1">
      <alignment vertical="center"/>
    </xf>
    <xf numFmtId="3" fontId="45" fillId="0" borderId="33" xfId="0" applyNumberFormat="1" applyFont="1" applyBorder="1" applyAlignment="1">
      <alignment vertical="center"/>
    </xf>
    <xf numFmtId="0" fontId="45" fillId="0" borderId="33" xfId="0" applyFont="1" applyBorder="1" applyAlignment="1">
      <alignment vertical="center"/>
    </xf>
    <xf numFmtId="3" fontId="52" fillId="7" borderId="33" xfId="0" applyNumberFormat="1" applyFont="1" applyFill="1" applyBorder="1" applyAlignment="1">
      <alignment vertical="center"/>
    </xf>
    <xf numFmtId="3" fontId="45" fillId="17" borderId="33" xfId="0" applyNumberFormat="1" applyFont="1" applyFill="1" applyBorder="1" applyAlignment="1">
      <alignment vertical="center"/>
    </xf>
    <xf numFmtId="0" fontId="47" fillId="0" borderId="33" xfId="0" applyFont="1" applyBorder="1" applyAlignment="1">
      <alignment vertical="center"/>
    </xf>
    <xf numFmtId="3" fontId="50" fillId="0" borderId="33" xfId="0" applyNumberFormat="1" applyFont="1" applyBorder="1" applyAlignment="1">
      <alignment vertical="center"/>
    </xf>
    <xf numFmtId="0" fontId="0" fillId="0" borderId="0" xfId="0" applyFont="1"/>
    <xf numFmtId="0" fontId="4" fillId="0" borderId="2" xfId="0" applyFont="1" applyBorder="1" applyAlignment="1">
      <alignment horizontal="left" vertical="center" wrapText="1"/>
    </xf>
    <xf numFmtId="0" fontId="57" fillId="0" borderId="0" xfId="0" applyFont="1" applyAlignment="1">
      <alignment vertical="center"/>
    </xf>
    <xf numFmtId="0" fontId="0" fillId="0" borderId="0" xfId="0" applyAlignment="1">
      <alignment vertical="center" wrapText="1"/>
    </xf>
    <xf numFmtId="0" fontId="58" fillId="0" borderId="0" xfId="0" applyFont="1" applyAlignment="1">
      <alignment vertical="center" wrapText="1"/>
    </xf>
    <xf numFmtId="0" fontId="55" fillId="0" borderId="0" xfId="0" applyFont="1" applyAlignment="1">
      <alignment horizontal="left"/>
    </xf>
    <xf numFmtId="0" fontId="56" fillId="0" borderId="0" xfId="0" applyFont="1"/>
    <xf numFmtId="0" fontId="57" fillId="0" borderId="0" xfId="0" applyFont="1" applyAlignment="1">
      <alignment vertical="center" wrapText="1"/>
    </xf>
    <xf numFmtId="0" fontId="59" fillId="9" borderId="14"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6" xfId="0" applyFont="1" applyFill="1" applyBorder="1" applyAlignment="1">
      <alignment vertical="center" wrapText="1"/>
    </xf>
    <xf numFmtId="0" fontId="59" fillId="9" borderId="5" xfId="0" applyFont="1" applyFill="1" applyBorder="1" applyAlignment="1">
      <alignment vertical="center" wrapText="1"/>
    </xf>
    <xf numFmtId="0" fontId="59" fillId="9" borderId="15" xfId="0" applyFont="1" applyFill="1" applyBorder="1" applyAlignment="1">
      <alignment horizontal="center" vertical="center" wrapText="1"/>
    </xf>
    <xf numFmtId="0" fontId="59" fillId="9" borderId="11" xfId="0" applyFont="1" applyFill="1" applyBorder="1" applyAlignment="1">
      <alignment horizontal="center" vertical="center" wrapText="1"/>
    </xf>
    <xf numFmtId="0" fontId="59" fillId="9" borderId="5" xfId="0" applyFont="1" applyFill="1" applyBorder="1" applyAlignment="1">
      <alignment horizontal="center" vertical="center" wrapText="1"/>
    </xf>
    <xf numFmtId="0" fontId="59" fillId="9" borderId="13" xfId="0" applyFont="1" applyFill="1" applyBorder="1" applyAlignment="1">
      <alignment horizontal="center" vertical="center" wrapText="1"/>
    </xf>
    <xf numFmtId="0" fontId="59" fillId="9" borderId="12" xfId="0" applyFont="1" applyFill="1" applyBorder="1" applyAlignment="1">
      <alignment horizontal="center" vertical="center" wrapText="1"/>
    </xf>
    <xf numFmtId="0" fontId="57" fillId="0" borderId="2"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2" xfId="0" applyFont="1" applyBorder="1" applyAlignment="1">
      <alignment vertical="center" wrapText="1"/>
    </xf>
    <xf numFmtId="0" fontId="60" fillId="0" borderId="2" xfId="0" applyFont="1" applyBorder="1" applyAlignment="1">
      <alignment vertical="center" wrapText="1"/>
    </xf>
    <xf numFmtId="0" fontId="61" fillId="0" borderId="2" xfId="0" applyFont="1" applyBorder="1" applyAlignment="1">
      <alignment horizontal="center" vertical="center" wrapText="1"/>
    </xf>
    <xf numFmtId="0" fontId="0" fillId="0" borderId="0" xfId="0" applyAlignment="1">
      <alignment horizontal="center" vertical="center" wrapText="1"/>
    </xf>
    <xf numFmtId="0" fontId="11" fillId="0" borderId="0" xfId="0" applyFont="1" applyAlignment="1">
      <alignment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62"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63" fillId="0" borderId="2" xfId="0" applyFont="1" applyBorder="1" applyAlignment="1">
      <alignment vertical="center" wrapText="1"/>
    </xf>
    <xf numFmtId="9" fontId="11" fillId="0" borderId="5"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4" fillId="0" borderId="5" xfId="0" applyFont="1" applyBorder="1" applyAlignment="1">
      <alignment horizontal="center" vertical="center"/>
    </xf>
    <xf numFmtId="0" fontId="64" fillId="0" borderId="0" xfId="3" applyFont="1">
      <alignment vertical="center"/>
    </xf>
    <xf numFmtId="0" fontId="2" fillId="0" borderId="0" xfId="0" applyFont="1"/>
    <xf numFmtId="0" fontId="4" fillId="0" borderId="2" xfId="0" applyFont="1" applyBorder="1" applyAlignment="1">
      <alignment horizontal="center"/>
    </xf>
    <xf numFmtId="0" fontId="11" fillId="0" borderId="0" xfId="0" applyFont="1" applyAlignment="1">
      <alignment horizontal="center"/>
    </xf>
    <xf numFmtId="0" fontId="0" fillId="0" borderId="0" xfId="0" applyAlignment="1">
      <alignment wrapText="1"/>
    </xf>
    <xf numFmtId="0" fontId="67" fillId="0" borderId="0" xfId="0" applyFont="1" applyAlignment="1">
      <alignment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wrapText="1"/>
    </xf>
    <xf numFmtId="0" fontId="66" fillId="0" borderId="2" xfId="0" applyFont="1" applyBorder="1" applyAlignment="1">
      <alignment vertical="center" wrapText="1"/>
    </xf>
    <xf numFmtId="0" fontId="66" fillId="0" borderId="2" xfId="0" applyFont="1" applyBorder="1" applyAlignment="1">
      <alignment horizontal="center" vertical="center" wrapText="1"/>
    </xf>
    <xf numFmtId="0" fontId="65" fillId="0" borderId="2" xfId="0" applyFont="1" applyBorder="1" applyAlignment="1">
      <alignment horizontal="justify" vertical="center" wrapText="1"/>
    </xf>
    <xf numFmtId="0" fontId="66" fillId="3" borderId="2" xfId="0" applyFont="1" applyFill="1" applyBorder="1" applyAlignment="1">
      <alignment vertical="center"/>
    </xf>
    <xf numFmtId="0" fontId="66" fillId="0" borderId="0" xfId="0" applyFont="1" applyAlignment="1">
      <alignment horizontal="left" vertical="top" wrapText="1"/>
    </xf>
    <xf numFmtId="0" fontId="2" fillId="0" borderId="2" xfId="0" applyFont="1" applyBorder="1" applyAlignment="1">
      <alignment horizontal="center" wrapText="1"/>
    </xf>
    <xf numFmtId="0" fontId="66" fillId="0" borderId="2" xfId="0" applyFont="1" applyBorder="1" applyAlignment="1">
      <alignment horizontal="left" vertical="center" wrapText="1" indent="3"/>
    </xf>
    <xf numFmtId="0" fontId="65" fillId="0" borderId="2" xfId="0" applyFont="1" applyBorder="1" applyAlignment="1">
      <alignment vertical="center" wrapText="1"/>
    </xf>
    <xf numFmtId="0" fontId="66" fillId="0" borderId="2" xfId="0" applyFont="1" applyBorder="1" applyAlignment="1">
      <alignment horizontal="left" vertical="center" wrapText="1" indent="2"/>
    </xf>
    <xf numFmtId="0" fontId="11" fillId="0" borderId="0" xfId="0" applyFont="1" applyAlignment="1">
      <alignment horizontal="center" vertical="center" wrapText="1"/>
    </xf>
    <xf numFmtId="0" fontId="27" fillId="0" borderId="0" xfId="0" applyFont="1" applyAlignment="1">
      <alignment horizontal="left" vertical="center"/>
    </xf>
    <xf numFmtId="0" fontId="0" fillId="0" borderId="0" xfId="0" applyAlignment="1">
      <alignment horizontal="left" vertical="center"/>
    </xf>
    <xf numFmtId="0" fontId="70" fillId="0" borderId="0" xfId="0" applyFont="1" applyAlignment="1">
      <alignment horizontal="left" vertical="center"/>
    </xf>
    <xf numFmtId="49" fontId="4" fillId="0" borderId="2" xfId="7" applyNumberFormat="1" applyFont="1" applyBorder="1" applyAlignment="1">
      <alignment horizontal="center" vertical="center" wrapText="1"/>
    </xf>
    <xf numFmtId="49" fontId="4" fillId="0" borderId="2" xfId="7" quotePrefix="1" applyNumberFormat="1" applyFont="1" applyBorder="1" applyAlignment="1">
      <alignment horizontal="center" vertical="center" wrapText="1"/>
    </xf>
    <xf numFmtId="0" fontId="4" fillId="0" borderId="2" xfId="7" applyFont="1" applyBorder="1" applyAlignment="1">
      <alignment horizontal="center" vertical="center" wrapText="1"/>
    </xf>
    <xf numFmtId="0" fontId="4" fillId="0" borderId="2" xfId="7" applyFont="1" applyBorder="1" applyAlignment="1">
      <alignment horizontal="left" vertical="center" wrapText="1"/>
    </xf>
    <xf numFmtId="0" fontId="4" fillId="0" borderId="2" xfId="7" applyFont="1" applyBorder="1" applyAlignment="1">
      <alignment vertical="center" wrapText="1"/>
    </xf>
    <xf numFmtId="0" fontId="71" fillId="0" borderId="2" xfId="7" applyFont="1" applyBorder="1" applyAlignment="1">
      <alignment horizontal="left" vertical="center" wrapText="1" indent="2"/>
    </xf>
    <xf numFmtId="0" fontId="4" fillId="4" borderId="2" xfId="7" applyFont="1" applyFill="1" applyBorder="1" applyAlignment="1">
      <alignment horizontal="center" vertical="center" wrapText="1"/>
    </xf>
    <xf numFmtId="0" fontId="4" fillId="4" borderId="2" xfId="7" applyFont="1" applyFill="1" applyBorder="1" applyAlignment="1">
      <alignment wrapText="1"/>
    </xf>
    <xf numFmtId="0" fontId="72" fillId="0" borderId="2" xfId="7" applyFont="1" applyBorder="1"/>
    <xf numFmtId="0" fontId="4" fillId="0" borderId="2" xfId="7" applyFont="1" applyBorder="1"/>
    <xf numFmtId="0" fontId="4" fillId="4" borderId="2" xfId="7" applyFont="1" applyFill="1" applyBorder="1"/>
    <xf numFmtId="0" fontId="4" fillId="0" borderId="2" xfId="7" quotePrefix="1" applyFont="1" applyBorder="1" applyAlignment="1">
      <alignment horizontal="center" vertical="center" wrapText="1"/>
    </xf>
    <xf numFmtId="0" fontId="73" fillId="0" borderId="0" xfId="0" applyFont="1"/>
    <xf numFmtId="0" fontId="4" fillId="0" borderId="2" xfId="0" applyFont="1" applyBorder="1"/>
    <xf numFmtId="0" fontId="4" fillId="0" borderId="2" xfId="0" applyFont="1" applyBorder="1" applyAlignment="1">
      <alignment horizontal="left" indent="2"/>
    </xf>
    <xf numFmtId="0" fontId="4" fillId="0" borderId="2" xfId="0" applyFont="1" applyBorder="1" applyAlignment="1">
      <alignment horizontal="left" wrapText="1" indent="2"/>
    </xf>
    <xf numFmtId="0" fontId="4" fillId="0" borderId="2" xfId="0" applyFont="1" applyBorder="1" applyAlignment="1">
      <alignment horizontal="left" indent="4"/>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14" xfId="0" applyFont="1" applyBorder="1" applyAlignment="1">
      <alignment horizontal="center"/>
    </xf>
    <xf numFmtId="0" fontId="75" fillId="0" borderId="0" xfId="8" applyFont="1" applyAlignment="1">
      <alignment horizontal="left" vertical="center"/>
    </xf>
    <xf numFmtId="49" fontId="76" fillId="4" borderId="52" xfId="8" applyNumberFormat="1" applyFont="1" applyFill="1" applyBorder="1" applyAlignment="1">
      <alignment horizontal="center" vertical="center" wrapText="1"/>
    </xf>
    <xf numFmtId="49" fontId="75" fillId="4" borderId="53" xfId="8" applyNumberFormat="1" applyFont="1" applyFill="1" applyBorder="1" applyAlignment="1">
      <alignment horizontal="center" vertical="center" wrapText="1"/>
    </xf>
    <xf numFmtId="49" fontId="75" fillId="4" borderId="2" xfId="8" applyNumberFormat="1" applyFont="1" applyFill="1" applyBorder="1" applyAlignment="1">
      <alignment horizontal="center" vertical="center" wrapText="1"/>
    </xf>
    <xf numFmtId="49" fontId="75" fillId="4" borderId="54" xfId="8" applyNumberFormat="1" applyFont="1" applyFill="1" applyBorder="1" applyAlignment="1">
      <alignment horizontal="center" vertical="center" wrapText="1"/>
    </xf>
    <xf numFmtId="49" fontId="75" fillId="4" borderId="55" xfId="8" applyNumberFormat="1" applyFont="1" applyFill="1" applyBorder="1" applyAlignment="1">
      <alignment horizontal="center" vertical="center" wrapText="1"/>
    </xf>
    <xf numFmtId="0" fontId="75" fillId="4" borderId="2" xfId="9" applyFont="1" applyFill="1" applyBorder="1" applyAlignment="1">
      <alignment horizontal="center" vertical="center" wrapText="1"/>
    </xf>
    <xf numFmtId="0" fontId="5" fillId="0" borderId="2" xfId="0" applyFont="1" applyBorder="1"/>
    <xf numFmtId="0" fontId="77" fillId="13" borderId="56" xfId="8" applyFont="1" applyFill="1" applyBorder="1" applyAlignment="1">
      <alignment wrapText="1"/>
    </xf>
    <xf numFmtId="0" fontId="78" fillId="0" borderId="57" xfId="8" applyFont="1" applyBorder="1" applyAlignment="1">
      <alignment horizontal="center" wrapText="1"/>
    </xf>
    <xf numFmtId="0" fontId="5" fillId="0" borderId="2" xfId="0" applyFont="1" applyBorder="1" applyAlignment="1">
      <alignment horizontal="left" indent="1"/>
    </xf>
    <xf numFmtId="0" fontId="77" fillId="13" borderId="59" xfId="8" applyFont="1" applyFill="1" applyBorder="1" applyAlignment="1">
      <alignment wrapText="1"/>
    </xf>
    <xf numFmtId="0" fontId="77" fillId="13" borderId="60" xfId="8" applyFont="1" applyFill="1" applyBorder="1" applyAlignment="1">
      <alignment wrapText="1"/>
    </xf>
    <xf numFmtId="0" fontId="78" fillId="13" borderId="60" xfId="8" applyFont="1" applyFill="1" applyBorder="1" applyAlignment="1">
      <alignment horizontal="center" wrapText="1"/>
    </xf>
    <xf numFmtId="0" fontId="5" fillId="9" borderId="2" xfId="0" applyFont="1" applyFill="1" applyBorder="1" applyAlignment="1">
      <alignment horizontal="left" indent="1"/>
    </xf>
    <xf numFmtId="0" fontId="36" fillId="0" borderId="0" xfId="6">
      <alignment vertical="center"/>
    </xf>
    <xf numFmtId="0" fontId="18" fillId="0" borderId="0" xfId="10" applyFont="1" applyFill="1" applyBorder="1" applyAlignment="1">
      <alignment horizontal="left" vertical="center"/>
    </xf>
    <xf numFmtId="0" fontId="79" fillId="0" borderId="0" xfId="11" applyFill="1" applyBorder="1" applyAlignment="1">
      <alignment vertical="center"/>
    </xf>
    <xf numFmtId="0" fontId="69" fillId="0" borderId="0" xfId="10" applyFill="1" applyBorder="1" applyAlignment="1">
      <alignment vertical="center"/>
    </xf>
    <xf numFmtId="0" fontId="69" fillId="0" borderId="0" xfId="10" applyFill="1" applyBorder="1" applyAlignment="1">
      <alignment horizontal="left" vertical="center"/>
    </xf>
    <xf numFmtId="0" fontId="5" fillId="0" borderId="0" xfId="10" applyFont="1" applyFill="1" applyBorder="1" applyAlignment="1">
      <alignment vertical="center"/>
    </xf>
    <xf numFmtId="0" fontId="4" fillId="0" borderId="0" xfId="6" applyFont="1">
      <alignment vertical="center"/>
    </xf>
    <xf numFmtId="0" fontId="5" fillId="9" borderId="13" xfId="3" applyFont="1" applyFill="1" applyBorder="1" applyAlignment="1">
      <alignment horizontal="center" vertical="center" wrapText="1"/>
    </xf>
    <xf numFmtId="0" fontId="5" fillId="0" borderId="2" xfId="12" applyFont="1" applyFill="1" applyBorder="1" applyAlignment="1">
      <alignment horizontal="center" vertical="center" wrapText="1"/>
    </xf>
    <xf numFmtId="0" fontId="5" fillId="9" borderId="4" xfId="3" applyFont="1" applyFill="1" applyBorder="1" applyAlignment="1">
      <alignment horizontal="center" vertical="center" wrapText="1"/>
    </xf>
    <xf numFmtId="0" fontId="4" fillId="0" borderId="0" xfId="3" applyFont="1">
      <alignment vertical="center"/>
    </xf>
    <xf numFmtId="0" fontId="4" fillId="0" borderId="2" xfId="3" quotePrefix="1" applyFont="1" applyBorder="1" applyAlignment="1">
      <alignment horizontal="center" vertical="center"/>
    </xf>
    <xf numFmtId="0" fontId="5" fillId="0" borderId="2" xfId="3" quotePrefix="1" applyFont="1" applyBorder="1" applyAlignment="1">
      <alignment horizontal="center" vertical="center"/>
    </xf>
    <xf numFmtId="0" fontId="5" fillId="0" borderId="14" xfId="3" applyFont="1" applyBorder="1" applyAlignment="1">
      <alignment horizontal="left" vertical="center" wrapText="1" indent="1"/>
    </xf>
    <xf numFmtId="3" fontId="4" fillId="18" borderId="2" xfId="4" applyFont="1" applyFill="1" applyAlignment="1">
      <alignment horizontal="center" vertical="center"/>
      <protection locked="0"/>
    </xf>
    <xf numFmtId="3" fontId="4" fillId="18" borderId="5" xfId="4" applyFont="1" applyFill="1" applyBorder="1" applyAlignment="1">
      <alignment horizontal="center" vertical="center"/>
      <protection locked="0"/>
    </xf>
    <xf numFmtId="0" fontId="4" fillId="0" borderId="5" xfId="3" applyFont="1" applyBorder="1" applyAlignment="1">
      <alignment horizontal="left" vertical="center" wrapText="1" indent="2"/>
    </xf>
    <xf numFmtId="3" fontId="4" fillId="0" borderId="5" xfId="4" applyFont="1" applyFill="1" applyBorder="1" applyAlignment="1">
      <alignment horizontal="center" vertical="center"/>
      <protection locked="0"/>
    </xf>
    <xf numFmtId="0" fontId="4" fillId="0" borderId="10" xfId="3" applyFont="1" applyBorder="1" applyAlignment="1">
      <alignment horizontal="left" vertical="center" wrapText="1" indent="3"/>
    </xf>
    <xf numFmtId="0" fontId="80" fillId="0" borderId="10" xfId="3" applyFont="1" applyBorder="1" applyAlignment="1">
      <alignment horizontal="left" vertical="center" wrapText="1" indent="3"/>
    </xf>
    <xf numFmtId="3" fontId="74" fillId="18" borderId="2" xfId="4" applyFont="1" applyFill="1" applyAlignment="1">
      <alignment horizontal="center" vertical="center"/>
      <protection locked="0"/>
    </xf>
    <xf numFmtId="3" fontId="74" fillId="18" borderId="5" xfId="4" applyFont="1" applyFill="1" applyBorder="1" applyAlignment="1">
      <alignment horizontal="center" vertical="center"/>
      <protection locked="0"/>
    </xf>
    <xf numFmtId="3" fontId="4" fillId="0" borderId="2" xfId="7" applyNumberFormat="1" applyFont="1" applyBorder="1" applyAlignment="1">
      <alignment horizontal="center" vertical="center" wrapText="1"/>
    </xf>
    <xf numFmtId="3" fontId="66" fillId="0" borderId="2" xfId="0" applyNumberFormat="1" applyFont="1" applyBorder="1" applyAlignment="1">
      <alignment vertical="center"/>
    </xf>
    <xf numFmtId="3" fontId="66" fillId="3" borderId="2" xfId="0" applyNumberFormat="1" applyFont="1" applyFill="1" applyBorder="1" applyAlignment="1">
      <alignment vertical="center"/>
    </xf>
    <xf numFmtId="0" fontId="0" fillId="0" borderId="0" xfId="0" applyFont="1" applyAlignment="1">
      <alignment vertical="center"/>
    </xf>
    <xf numFmtId="3" fontId="74" fillId="0" borderId="2" xfId="0" applyNumberFormat="1" applyFont="1" applyBorder="1"/>
    <xf numFmtId="3" fontId="0" fillId="0" borderId="2" xfId="0" applyNumberFormat="1" applyFont="1" applyBorder="1"/>
    <xf numFmtId="3" fontId="45" fillId="0" borderId="20" xfId="0" applyNumberFormat="1" applyFont="1" applyBorder="1" applyAlignment="1">
      <alignment vertical="center"/>
    </xf>
    <xf numFmtId="3" fontId="47" fillId="0" borderId="33" xfId="0" applyNumberFormat="1" applyFont="1" applyBorder="1" applyAlignment="1">
      <alignment vertical="center"/>
    </xf>
    <xf numFmtId="3" fontId="52" fillId="0" borderId="33" xfId="0" applyNumberFormat="1" applyFont="1" applyFill="1" applyBorder="1" applyAlignment="1">
      <alignment vertical="center"/>
    </xf>
    <xf numFmtId="3" fontId="45" fillId="0" borderId="33" xfId="0" applyNumberFormat="1" applyFont="1" applyFill="1" applyBorder="1" applyAlignment="1">
      <alignment vertical="center"/>
    </xf>
    <xf numFmtId="3" fontId="57" fillId="0" borderId="2" xfId="0" applyNumberFormat="1" applyFont="1" applyBorder="1" applyAlignment="1">
      <alignment horizontal="center" vertical="center" wrapText="1"/>
    </xf>
    <xf numFmtId="3" fontId="57" fillId="0" borderId="14" xfId="0" applyNumberFormat="1" applyFont="1" applyBorder="1" applyAlignment="1">
      <alignment horizontal="center" vertical="center" wrapText="1"/>
    </xf>
    <xf numFmtId="3" fontId="57" fillId="18" borderId="2" xfId="0" applyNumberFormat="1" applyFont="1" applyFill="1" applyBorder="1" applyAlignment="1">
      <alignment horizontal="center" vertical="center" wrapText="1"/>
    </xf>
    <xf numFmtId="3" fontId="57" fillId="0" borderId="7" xfId="0" applyNumberFormat="1" applyFont="1" applyBorder="1" applyAlignment="1">
      <alignment horizontal="center" vertical="center" wrapText="1"/>
    </xf>
    <xf numFmtId="3" fontId="57" fillId="0" borderId="8" xfId="0" applyNumberFormat="1" applyFont="1" applyBorder="1" applyAlignment="1">
      <alignment horizontal="center" vertical="center" wrapText="1"/>
    </xf>
    <xf numFmtId="3" fontId="0" fillId="0" borderId="5" xfId="0" applyNumberFormat="1" applyBorder="1" applyAlignment="1">
      <alignment wrapText="1"/>
    </xf>
    <xf numFmtId="3" fontId="0" fillId="0" borderId="2" xfId="0" applyNumberFormat="1" applyBorder="1" applyAlignment="1">
      <alignment wrapText="1"/>
    </xf>
    <xf numFmtId="3" fontId="0" fillId="0" borderId="2" xfId="0" applyNumberFormat="1" applyFill="1" applyBorder="1" applyAlignment="1">
      <alignment wrapText="1"/>
    </xf>
    <xf numFmtId="167" fontId="0" fillId="0" borderId="2" xfId="2" applyNumberFormat="1" applyFont="1" applyBorder="1" applyAlignment="1">
      <alignment wrapText="1"/>
    </xf>
    <xf numFmtId="0" fontId="4" fillId="0" borderId="0" xfId="0" applyFont="1" applyFill="1"/>
    <xf numFmtId="0" fontId="0" fillId="0" borderId="0" xfId="0" applyFont="1" applyFill="1"/>
    <xf numFmtId="0" fontId="4" fillId="0" borderId="0" xfId="6" applyFont="1" applyFill="1">
      <alignment vertical="center"/>
    </xf>
    <xf numFmtId="0" fontId="4" fillId="0" borderId="0" xfId="0" applyFont="1" applyFill="1" applyAlignment="1">
      <alignment vertical="center"/>
    </xf>
    <xf numFmtId="3" fontId="4" fillId="4" borderId="2" xfId="0" applyNumberFormat="1" applyFont="1" applyFill="1" applyBorder="1"/>
    <xf numFmtId="3" fontId="77" fillId="0" borderId="58" xfId="8" applyNumberFormat="1" applyFont="1" applyBorder="1" applyAlignment="1">
      <alignment wrapText="1"/>
    </xf>
    <xf numFmtId="3" fontId="77" fillId="13" borderId="59" xfId="8" applyNumberFormat="1" applyFont="1" applyFill="1" applyBorder="1" applyAlignment="1">
      <alignment wrapText="1"/>
    </xf>
    <xf numFmtId="3" fontId="77" fillId="0" borderId="61" xfId="8" applyNumberFormat="1" applyFont="1" applyBorder="1" applyAlignment="1">
      <alignment wrapText="1"/>
    </xf>
    <xf numFmtId="3" fontId="77" fillId="0" borderId="62" xfId="8" applyNumberFormat="1" applyFont="1" applyBorder="1" applyAlignment="1">
      <alignment wrapText="1"/>
    </xf>
    <xf numFmtId="3" fontId="77" fillId="0" borderId="63" xfId="8" applyNumberFormat="1" applyFont="1" applyBorder="1" applyAlignment="1">
      <alignment wrapText="1"/>
    </xf>
    <xf numFmtId="0" fontId="0" fillId="0" borderId="0" xfId="0" applyFont="1" applyFill="1" applyAlignment="1">
      <alignment vertical="top"/>
    </xf>
    <xf numFmtId="3" fontId="77" fillId="9" borderId="59" xfId="8" applyNumberFormat="1" applyFont="1" applyFill="1" applyBorder="1" applyAlignment="1">
      <alignment wrapText="1"/>
    </xf>
    <xf numFmtId="3" fontId="77" fillId="9" borderId="60" xfId="8" applyNumberFormat="1" applyFont="1" applyFill="1" applyBorder="1" applyAlignment="1">
      <alignment wrapText="1"/>
    </xf>
    <xf numFmtId="3" fontId="77" fillId="0" borderId="59" xfId="8" applyNumberFormat="1" applyFont="1" applyBorder="1" applyAlignment="1">
      <alignment wrapText="1"/>
    </xf>
    <xf numFmtId="3" fontId="77" fillId="0" borderId="60" xfId="8" applyNumberFormat="1" applyFont="1" applyBorder="1" applyAlignment="1">
      <alignment wrapText="1"/>
    </xf>
    <xf numFmtId="3" fontId="77" fillId="0" borderId="64" xfId="8" applyNumberFormat="1" applyFont="1" applyBorder="1" applyAlignment="1">
      <alignment wrapText="1"/>
    </xf>
    <xf numFmtId="3" fontId="77" fillId="0" borderId="65" xfId="8" applyNumberFormat="1" applyFont="1" applyBorder="1" applyAlignment="1">
      <alignment wrapText="1"/>
    </xf>
    <xf numFmtId="3" fontId="4" fillId="0" borderId="0" xfId="0" applyNumberFormat="1" applyFont="1"/>
    <xf numFmtId="0" fontId="4" fillId="0" borderId="0" xfId="10" applyFont="1" applyFill="1" applyBorder="1" applyAlignment="1">
      <alignment horizontal="left" vertical="center"/>
    </xf>
    <xf numFmtId="0" fontId="4" fillId="0" borderId="0" xfId="10" applyFont="1" applyFill="1" applyBorder="1" applyAlignment="1">
      <alignment vertical="top"/>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0" fontId="8" fillId="7" borderId="2" xfId="0" applyFont="1" applyFill="1" applyBorder="1" applyAlignment="1">
      <alignment horizontal="center" vertical="center" wrapText="1"/>
    </xf>
    <xf numFmtId="0" fontId="8" fillId="0" borderId="0" xfId="0" applyFont="1" applyFill="1"/>
    <xf numFmtId="0" fontId="8"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xf>
    <xf numFmtId="0" fontId="0" fillId="0" borderId="0" xfId="0" applyFont="1" applyFill="1" applyAlignment="1">
      <alignment horizontal="left" vertical="center"/>
    </xf>
    <xf numFmtId="3" fontId="8" fillId="0" borderId="2" xfId="1" applyNumberFormat="1" applyFont="1" applyFill="1" applyBorder="1" applyAlignment="1">
      <alignment horizontal="right" vertical="center"/>
    </xf>
    <xf numFmtId="167" fontId="8" fillId="0" borderId="2" xfId="0" applyNumberFormat="1" applyFont="1" applyFill="1" applyBorder="1" applyAlignment="1">
      <alignment horizontal="center" vertical="center" wrapText="1"/>
    </xf>
    <xf numFmtId="0" fontId="0" fillId="15" borderId="21" xfId="0" applyFill="1" applyBorder="1" applyAlignment="1">
      <alignment horizontal="center" vertical="center" wrapText="1"/>
    </xf>
    <xf numFmtId="0" fontId="0" fillId="15" borderId="22" xfId="0" applyFill="1" applyBorder="1" applyAlignment="1">
      <alignment vertical="center" wrapText="1"/>
    </xf>
    <xf numFmtId="165" fontId="11" fillId="15" borderId="31" xfId="1" applyNumberFormat="1" applyFont="1" applyFill="1" applyBorder="1" applyAlignment="1">
      <alignment horizontal="center" vertical="center"/>
    </xf>
    <xf numFmtId="165" fontId="11" fillId="15" borderId="22" xfId="1" applyNumberFormat="1" applyFont="1" applyFill="1" applyBorder="1" applyAlignment="1">
      <alignment horizontal="center" vertical="center"/>
    </xf>
    <xf numFmtId="165" fontId="0" fillId="16" borderId="33" xfId="1" applyNumberFormat="1" applyFont="1" applyFill="1" applyBorder="1" applyAlignment="1">
      <alignment horizontal="center" vertical="center" wrapText="1"/>
    </xf>
    <xf numFmtId="165" fontId="11" fillId="0" borderId="33" xfId="1" applyNumberFormat="1" applyFont="1" applyBorder="1" applyAlignment="1">
      <alignment horizontal="center" vertical="center"/>
    </xf>
    <xf numFmtId="0" fontId="11" fillId="15" borderId="32" xfId="0" applyFont="1" applyFill="1" applyBorder="1" applyAlignment="1">
      <alignment horizontal="center" vertical="center" wrapText="1"/>
    </xf>
    <xf numFmtId="165" fontId="11" fillId="15" borderId="21" xfId="1" quotePrefix="1" applyNumberFormat="1" applyFont="1" applyFill="1" applyBorder="1" applyAlignment="1">
      <alignment vertical="center" wrapText="1"/>
    </xf>
    <xf numFmtId="0" fontId="0" fillId="9" borderId="32" xfId="0" applyFill="1" applyBorder="1" applyAlignment="1">
      <alignment horizontal="center" vertical="center" wrapText="1"/>
    </xf>
    <xf numFmtId="165" fontId="0" fillId="0" borderId="32" xfId="1" applyNumberFormat="1" applyFont="1" applyBorder="1" applyAlignment="1">
      <alignment horizontal="center" vertical="center" wrapText="1"/>
    </xf>
    <xf numFmtId="169" fontId="8" fillId="0" borderId="2" xfId="1" applyNumberFormat="1" applyFont="1" applyBorder="1" applyAlignment="1">
      <alignment horizontal="center" vertical="center" wrapText="1"/>
    </xf>
    <xf numFmtId="167" fontId="8" fillId="0" borderId="2" xfId="2"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9" fontId="4" fillId="0" borderId="2" xfId="2" applyFont="1" applyFill="1" applyBorder="1" applyAlignment="1">
      <alignment horizontal="center" vertical="center" wrapText="1"/>
    </xf>
    <xf numFmtId="0" fontId="4" fillId="0" borderId="0" xfId="0" applyFont="1" applyFill="1" applyAlignment="1">
      <alignment horizontal="left"/>
    </xf>
    <xf numFmtId="0" fontId="0" fillId="0" borderId="0" xfId="0" applyBorder="1" applyAlignment="1">
      <alignment horizontal="center"/>
    </xf>
    <xf numFmtId="0" fontId="3" fillId="0" borderId="0" xfId="3" applyFont="1" applyFill="1" applyBorder="1" applyAlignment="1">
      <alignment horizontal="left" vertical="center" indent="3"/>
    </xf>
    <xf numFmtId="3" fontId="7" fillId="0" borderId="0" xfId="0" applyNumberFormat="1" applyFont="1"/>
    <xf numFmtId="9" fontId="3" fillId="0" borderId="2" xfId="2" applyFont="1" applyFill="1" applyBorder="1" applyAlignment="1" applyProtection="1">
      <alignment horizontal="center" vertical="center" wrapText="1"/>
      <protection locked="0"/>
    </xf>
    <xf numFmtId="167" fontId="3" fillId="0" borderId="2" xfId="2" applyNumberFormat="1" applyFont="1" applyFill="1" applyBorder="1" applyAlignment="1" applyProtection="1">
      <alignment horizontal="center" vertical="center" wrapText="1"/>
      <protection locked="0"/>
    </xf>
    <xf numFmtId="3" fontId="7" fillId="0" borderId="66" xfId="0" applyNumberFormat="1" applyFont="1" applyBorder="1"/>
    <xf numFmtId="49" fontId="46" fillId="7" borderId="0" xfId="0" applyNumberFormat="1" applyFont="1" applyFill="1" applyBorder="1" applyAlignment="1">
      <alignment horizontal="left" vertical="center"/>
    </xf>
    <xf numFmtId="0" fontId="81" fillId="0" borderId="0" xfId="13" applyFill="1"/>
    <xf numFmtId="0" fontId="8" fillId="0" borderId="0" xfId="0" applyFont="1" applyBorder="1" applyAlignment="1">
      <alignment vertical="center"/>
    </xf>
    <xf numFmtId="0" fontId="81" fillId="0" borderId="0" xfId="13" applyFill="1" applyAlignment="1">
      <alignment vertical="center"/>
    </xf>
    <xf numFmtId="0" fontId="81" fillId="0" borderId="0" xfId="13" applyFill="1" applyAlignment="1">
      <alignment horizontal="left" vertical="center"/>
    </xf>
    <xf numFmtId="0" fontId="81" fillId="0" borderId="0" xfId="13" applyFill="1" applyAlignment="1">
      <alignment horizontal="left"/>
    </xf>
    <xf numFmtId="0" fontId="81" fillId="0" borderId="0" xfId="13" applyFill="1" applyBorder="1" applyAlignment="1">
      <alignment horizontal="left" vertical="center"/>
    </xf>
    <xf numFmtId="0" fontId="8" fillId="0" borderId="2" xfId="0" applyFont="1" applyFill="1" applyBorder="1" applyAlignment="1">
      <alignment vertical="center" wrapText="1"/>
    </xf>
    <xf numFmtId="9" fontId="8" fillId="0" borderId="2" xfId="0" applyNumberFormat="1" applyFont="1" applyFill="1" applyBorder="1" applyAlignment="1">
      <alignment horizontal="center" vertical="center" wrapText="1"/>
    </xf>
    <xf numFmtId="14" fontId="0" fillId="0" borderId="2" xfId="0" applyNumberFormat="1" applyFill="1" applyBorder="1" applyAlignment="1">
      <alignment horizontal="center" vertical="center" wrapText="1"/>
    </xf>
    <xf numFmtId="170" fontId="0" fillId="0" borderId="0" xfId="0" applyNumberFormat="1"/>
    <xf numFmtId="164" fontId="11" fillId="0" borderId="0" xfId="1" applyFont="1"/>
    <xf numFmtId="165" fontId="0" fillId="0" borderId="0" xfId="1" applyNumberFormat="1" applyFont="1"/>
    <xf numFmtId="164" fontId="0" fillId="0" borderId="0" xfId="0" applyNumberFormat="1"/>
    <xf numFmtId="3" fontId="3" fillId="0" borderId="2" xfId="0" applyNumberFormat="1" applyFont="1" applyFill="1" applyBorder="1" applyAlignment="1">
      <alignment vertical="center"/>
    </xf>
    <xf numFmtId="167" fontId="3" fillId="0" borderId="2" xfId="2" applyNumberFormat="1" applyFont="1" applyFill="1" applyBorder="1" applyAlignment="1">
      <alignment vertical="center"/>
    </xf>
    <xf numFmtId="164" fontId="4" fillId="0" borderId="2" xfId="1" applyFont="1" applyFill="1" applyBorder="1" applyAlignment="1" applyProtection="1">
      <alignment vertical="center"/>
      <protection locked="0"/>
    </xf>
    <xf numFmtId="164" fontId="4" fillId="0" borderId="2" xfId="1" applyFont="1" applyFill="1" applyBorder="1" applyAlignment="1" applyProtection="1">
      <alignment horizontal="center" vertical="center"/>
      <protection locked="0"/>
    </xf>
    <xf numFmtId="0" fontId="4" fillId="0" borderId="2" xfId="0" applyFont="1" applyBorder="1" applyAlignment="1">
      <alignment horizontal="center" vertical="center" wrapText="1"/>
    </xf>
    <xf numFmtId="165" fontId="0" fillId="0" borderId="20" xfId="1" applyNumberFormat="1" applyFont="1" applyFill="1" applyBorder="1" applyAlignment="1">
      <alignment vertical="center" wrapText="1"/>
    </xf>
    <xf numFmtId="165" fontId="0" fillId="0" borderId="21" xfId="1" applyNumberFormat="1" applyFont="1" applyFill="1" applyBorder="1" applyAlignment="1">
      <alignment vertical="center" wrapText="1"/>
    </xf>
    <xf numFmtId="165" fontId="0" fillId="0" borderId="21" xfId="1" applyNumberFormat="1" applyFont="1" applyFill="1" applyBorder="1" applyAlignment="1">
      <alignment horizontal="center" vertical="center" wrapText="1"/>
    </xf>
    <xf numFmtId="165" fontId="0" fillId="0" borderId="34" xfId="1" applyNumberFormat="1" applyFont="1" applyFill="1" applyBorder="1" applyAlignment="1">
      <alignment horizontal="center" vertical="center" wrapText="1"/>
    </xf>
    <xf numFmtId="0" fontId="82" fillId="0" borderId="0" xfId="0" applyFont="1" applyAlignment="1">
      <alignment horizontal="left" vertical="center"/>
    </xf>
    <xf numFmtId="0" fontId="82" fillId="0" borderId="0" xfId="0" applyFont="1"/>
    <xf numFmtId="3" fontId="0" fillId="0" borderId="5" xfId="0" applyNumberFormat="1" applyFill="1" applyBorder="1" applyAlignment="1">
      <alignment wrapText="1"/>
    </xf>
    <xf numFmtId="3" fontId="77" fillId="0" borderId="59" xfId="8" applyNumberFormat="1" applyFont="1" applyFill="1" applyBorder="1" applyAlignment="1">
      <alignment wrapText="1"/>
    </xf>
    <xf numFmtId="3" fontId="77" fillId="0" borderId="64" xfId="8" applyNumberFormat="1" applyFont="1" applyFill="1" applyBorder="1" applyAlignment="1">
      <alignment wrapText="1"/>
    </xf>
    <xf numFmtId="3" fontId="4" fillId="0" borderId="2" xfId="0" applyNumberFormat="1" applyFont="1" applyFill="1" applyBorder="1"/>
    <xf numFmtId="3" fontId="0" fillId="0" borderId="2" xfId="0" applyNumberFormat="1" applyFill="1" applyBorder="1"/>
    <xf numFmtId="14" fontId="4" fillId="0" borderId="2" xfId="0" applyNumberFormat="1" applyFont="1" applyBorder="1" applyAlignment="1">
      <alignment horizontal="center" vertical="center"/>
    </xf>
    <xf numFmtId="167" fontId="0" fillId="0" borderId="2" xfId="2" quotePrefix="1" applyNumberFormat="1" applyFont="1" applyBorder="1"/>
    <xf numFmtId="3" fontId="4" fillId="5" borderId="6" xfId="0" quotePrefix="1" applyNumberFormat="1" applyFont="1" applyFill="1" applyBorder="1"/>
    <xf numFmtId="3" fontId="4" fillId="5" borderId="5" xfId="0" quotePrefix="1" applyNumberFormat="1" applyFont="1" applyFill="1" applyBorder="1"/>
    <xf numFmtId="0" fontId="4" fillId="0" borderId="2" xfId="0" applyFont="1" applyFill="1" applyBorder="1" applyAlignment="1">
      <alignment vertical="center" wrapText="1"/>
    </xf>
    <xf numFmtId="0" fontId="4" fillId="0" borderId="7" xfId="0" applyFont="1" applyFill="1" applyBorder="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9" fillId="3" borderId="7"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5"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5" xfId="0" applyFont="1" applyFill="1" applyBorder="1" applyAlignment="1">
      <alignment horizontal="left" vertical="center" wrapText="1"/>
    </xf>
    <xf numFmtId="0" fontId="23" fillId="0" borderId="0" xfId="0" applyFont="1" applyAlignment="1">
      <alignment horizontal="justify" vertical="center" wrapText="1"/>
    </xf>
    <xf numFmtId="0" fontId="22" fillId="0" borderId="0" xfId="0" applyFont="1" applyAlignment="1">
      <alignment horizontal="justify" vertical="center" wrapText="1"/>
    </xf>
    <xf numFmtId="0" fontId="20" fillId="0" borderId="0" xfId="0" applyFont="1" applyAlignment="1">
      <alignment horizontal="justify" vertical="center" wrapText="1"/>
    </xf>
    <xf numFmtId="0" fontId="0" fillId="7" borderId="2" xfId="0" applyFill="1" applyBorder="1" applyAlignment="1">
      <alignment horizontal="center" vertical="center" wrapText="1"/>
    </xf>
    <xf numFmtId="0" fontId="0" fillId="0" borderId="2" xfId="0" applyBorder="1" applyAlignment="1">
      <alignment horizontal="center" vertical="center" wrapText="1"/>
    </xf>
    <xf numFmtId="0" fontId="11" fillId="0" borderId="0" xfId="0" applyFont="1" applyAlignment="1">
      <alignment horizontal="justify" vertical="center" wrapText="1"/>
    </xf>
    <xf numFmtId="0" fontId="0" fillId="0" borderId="0" xfId="0" applyAlignment="1">
      <alignment horizontal="justify" vertical="center" wrapText="1"/>
    </xf>
    <xf numFmtId="0" fontId="21" fillId="0" borderId="0" xfId="0" applyFont="1" applyAlignment="1">
      <alignment horizontal="justify"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28" fillId="4" borderId="7"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5" xfId="0" applyFont="1" applyFill="1" applyBorder="1" applyAlignment="1">
      <alignment horizontal="center" vertical="center"/>
    </xf>
    <xf numFmtId="0" fontId="31" fillId="4" borderId="7"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5"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11" fillId="13" borderId="7"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13" borderId="7" xfId="0" applyFont="1" applyFill="1" applyBorder="1" applyAlignment="1">
      <alignment horizontal="center"/>
    </xf>
    <xf numFmtId="0" fontId="11" fillId="13" borderId="6" xfId="0" applyFont="1" applyFill="1" applyBorder="1" applyAlignment="1">
      <alignment horizontal="center"/>
    </xf>
    <xf numFmtId="0" fontId="11" fillId="13" borderId="5" xfId="0" applyFont="1" applyFill="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5" fillId="13" borderId="7" xfId="0" applyFont="1" applyFill="1" applyBorder="1" applyAlignment="1">
      <alignment horizontal="center"/>
    </xf>
    <xf numFmtId="0" fontId="5" fillId="13" borderId="6" xfId="0" applyFont="1" applyFill="1" applyBorder="1" applyAlignment="1">
      <alignment horizontal="center"/>
    </xf>
    <xf numFmtId="0" fontId="5" fillId="13" borderId="5" xfId="0" applyFont="1" applyFill="1" applyBorder="1" applyAlignment="1">
      <alignment horizontal="center"/>
    </xf>
    <xf numFmtId="0" fontId="34" fillId="0" borderId="0" xfId="0" applyFont="1" applyAlignment="1">
      <alignment horizontal="center" vertical="center" wrapText="1"/>
    </xf>
    <xf numFmtId="164" fontId="0" fillId="4" borderId="7" xfId="1" applyFont="1" applyFill="1" applyBorder="1" applyAlignment="1">
      <alignment horizontal="left"/>
    </xf>
    <xf numFmtId="164" fontId="0" fillId="4" borderId="6" xfId="1" applyFont="1" applyFill="1" applyBorder="1" applyAlignment="1">
      <alignment horizontal="left"/>
    </xf>
    <xf numFmtId="164" fontId="0" fillId="4" borderId="5" xfId="1" applyFont="1" applyFill="1" applyBorder="1" applyAlignment="1">
      <alignment horizontal="left"/>
    </xf>
    <xf numFmtId="164" fontId="8" fillId="4" borderId="17" xfId="1" applyFont="1" applyFill="1" applyBorder="1" applyAlignment="1">
      <alignment horizontal="center" vertical="center"/>
    </xf>
    <xf numFmtId="165" fontId="8" fillId="7" borderId="2" xfId="1" applyNumberFormat="1" applyFont="1" applyFill="1" applyBorder="1" applyAlignment="1">
      <alignment horizontal="center" vertical="center" wrapText="1"/>
    </xf>
    <xf numFmtId="164" fontId="35" fillId="7" borderId="2" xfId="1" applyFont="1" applyFill="1" applyBorder="1" applyAlignment="1">
      <alignment vertical="center" wrapText="1"/>
    </xf>
    <xf numFmtId="164" fontId="8" fillId="7" borderId="2" xfId="1" applyFont="1" applyFill="1" applyBorder="1" applyAlignment="1">
      <alignment vertical="center" wrapText="1"/>
    </xf>
    <xf numFmtId="164" fontId="0" fillId="4" borderId="17" xfId="1" applyFont="1" applyFill="1" applyBorder="1" applyAlignment="1">
      <alignment vertical="center" wrapText="1"/>
    </xf>
    <xf numFmtId="164" fontId="8" fillId="14" borderId="2" xfId="1" applyFont="1" applyFill="1" applyBorder="1" applyAlignment="1">
      <alignment vertical="center" wrapText="1"/>
    </xf>
    <xf numFmtId="0" fontId="8" fillId="7" borderId="2"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5" xfId="0" applyFont="1" applyFill="1" applyBorder="1" applyAlignment="1">
      <alignment horizontal="center" vertical="center" wrapText="1"/>
    </xf>
    <xf numFmtId="164" fontId="8" fillId="14" borderId="7" xfId="1" applyFont="1" applyFill="1" applyBorder="1" applyAlignment="1">
      <alignment horizontal="left" vertical="center" wrapText="1"/>
    </xf>
    <xf numFmtId="164" fontId="8" fillId="14" borderId="6" xfId="1" applyFont="1" applyFill="1" applyBorder="1" applyAlignment="1">
      <alignment horizontal="left" vertical="center" wrapText="1"/>
    </xf>
    <xf numFmtId="164" fontId="8" fillId="14" borderId="5" xfId="1" applyFont="1" applyFill="1" applyBorder="1" applyAlignment="1">
      <alignment horizontal="left" vertical="center" wrapText="1"/>
    </xf>
    <xf numFmtId="165" fontId="0" fillId="0" borderId="20" xfId="1" applyNumberFormat="1" applyFont="1" applyBorder="1" applyAlignment="1">
      <alignment horizontal="center" vertical="center" wrapText="1"/>
    </xf>
    <xf numFmtId="165" fontId="0" fillId="0" borderId="26" xfId="1" applyNumberFormat="1" applyFont="1" applyBorder="1" applyAlignment="1">
      <alignment horizontal="center" vertical="center" wrapText="1"/>
    </xf>
    <xf numFmtId="165" fontId="0" fillId="0" borderId="22" xfId="1" applyNumberFormat="1" applyFont="1" applyBorder="1" applyAlignment="1">
      <alignment horizontal="center" vertical="center" wrapText="1"/>
    </xf>
    <xf numFmtId="0" fontId="15" fillId="0" borderId="18" xfId="0" applyFont="1" applyBorder="1" applyAlignment="1">
      <alignment vertical="center"/>
    </xf>
    <xf numFmtId="0" fontId="15" fillId="0" borderId="19" xfId="0" applyFont="1" applyBorder="1" applyAlignment="1">
      <alignment vertical="center"/>
    </xf>
    <xf numFmtId="0" fontId="15" fillId="0" borderId="24" xfId="0" applyFont="1" applyBorder="1" applyAlignment="1">
      <alignment vertical="center"/>
    </xf>
    <xf numFmtId="0" fontId="15" fillId="0" borderId="25" xfId="0" applyFont="1" applyBorder="1" applyAlignment="1">
      <alignment vertical="center"/>
    </xf>
    <xf numFmtId="0" fontId="15" fillId="0" borderId="28" xfId="0" applyFont="1" applyBorder="1" applyAlignment="1">
      <alignment vertical="center"/>
    </xf>
    <xf numFmtId="0" fontId="15" fillId="0" borderId="16" xfId="0" applyFont="1" applyBorder="1" applyAlignment="1">
      <alignmen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1" fillId="13" borderId="20" xfId="0" applyFont="1" applyFill="1" applyBorder="1" applyAlignment="1">
      <alignment horizontal="left" vertical="center"/>
    </xf>
    <xf numFmtId="0" fontId="11" fillId="13" borderId="26" xfId="0" applyFont="1" applyFill="1" applyBorder="1" applyAlignment="1">
      <alignment horizontal="left" vertical="center"/>
    </xf>
    <xf numFmtId="0" fontId="11" fillId="13" borderId="22" xfId="0" applyFont="1" applyFill="1" applyBorder="1" applyAlignment="1">
      <alignment horizontal="left" vertical="center"/>
    </xf>
    <xf numFmtId="0" fontId="45" fillId="0" borderId="20"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24"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42" xfId="0" applyFont="1" applyBorder="1" applyAlignment="1">
      <alignment horizontal="center" vertical="center" wrapText="1"/>
    </xf>
    <xf numFmtId="0" fontId="0" fillId="0" borderId="2" xfId="0" applyBorder="1" applyAlignment="1">
      <alignment horizontal="center"/>
    </xf>
    <xf numFmtId="0" fontId="39" fillId="0" borderId="0" xfId="0" applyFont="1" applyAlignment="1">
      <alignment vertical="center" wrapText="1"/>
    </xf>
    <xf numFmtId="0" fontId="39" fillId="0" borderId="16" xfId="0" applyFont="1" applyBorder="1" applyAlignment="1">
      <alignment vertical="center" wrapText="1"/>
    </xf>
    <xf numFmtId="0" fontId="45" fillId="9" borderId="43" xfId="0" applyFont="1" applyFill="1" applyBorder="1" applyAlignment="1">
      <alignment horizontal="center" vertical="center" wrapText="1"/>
    </xf>
    <xf numFmtId="0" fontId="45" fillId="0" borderId="43" xfId="0" applyFont="1" applyBorder="1" applyAlignment="1">
      <alignment horizontal="center" vertical="center" wrapText="1"/>
    </xf>
    <xf numFmtId="0" fontId="45" fillId="0" borderId="32"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26" xfId="0" applyFont="1" applyBorder="1" applyAlignment="1">
      <alignment horizontal="center" vertical="center" wrapText="1"/>
    </xf>
    <xf numFmtId="0" fontId="51" fillId="0" borderId="22" xfId="0" applyFont="1" applyBorder="1" applyAlignment="1">
      <alignment horizontal="center" vertical="center" wrapText="1"/>
    </xf>
    <xf numFmtId="0" fontId="45" fillId="0" borderId="25" xfId="0" applyFont="1" applyBorder="1" applyAlignment="1">
      <alignment horizontal="center" vertical="center" wrapText="1"/>
    </xf>
    <xf numFmtId="0" fontId="45" fillId="9" borderId="42" xfId="0" applyFont="1" applyFill="1" applyBorder="1" applyAlignment="1">
      <alignment horizontal="center" vertical="center" wrapText="1"/>
    </xf>
    <xf numFmtId="0" fontId="39" fillId="0" borderId="35" xfId="0" applyFont="1" applyBorder="1"/>
    <xf numFmtId="0" fontId="45" fillId="0" borderId="16" xfId="0" applyFont="1" applyBorder="1" applyAlignment="1">
      <alignment horizontal="center" vertical="center" wrapText="1"/>
    </xf>
    <xf numFmtId="0" fontId="45" fillId="0" borderId="45" xfId="0" applyFont="1" applyBorder="1" applyAlignment="1">
      <alignment horizontal="center" vertical="center" wrapText="1"/>
    </xf>
    <xf numFmtId="0" fontId="39" fillId="9" borderId="43" xfId="0" applyFont="1" applyFill="1" applyBorder="1" applyAlignment="1">
      <alignment vertical="center" wrapText="1"/>
    </xf>
    <xf numFmtId="0" fontId="39" fillId="9" borderId="32" xfId="0" applyFont="1" applyFill="1" applyBorder="1" applyAlignment="1">
      <alignment vertical="center" wrapText="1"/>
    </xf>
    <xf numFmtId="0" fontId="39" fillId="9" borderId="42" xfId="0" applyFont="1" applyFill="1" applyBorder="1" applyAlignment="1">
      <alignment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11" fillId="0" borderId="6" xfId="0" applyFont="1" applyBorder="1" applyAlignment="1">
      <alignment horizontal="center" vertical="center" wrapText="1"/>
    </xf>
    <xf numFmtId="9" fontId="5" fillId="0" borderId="2"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0" borderId="2" xfId="7" applyFont="1" applyBorder="1" applyAlignment="1">
      <alignment horizontal="center" vertical="center" wrapText="1"/>
    </xf>
    <xf numFmtId="0" fontId="4" fillId="0" borderId="2" xfId="0" applyFont="1" applyBorder="1" applyAlignment="1">
      <alignment horizontal="left"/>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left" vertical="center" wrapText="1"/>
    </xf>
    <xf numFmtId="0" fontId="75" fillId="4" borderId="46" xfId="8" applyFont="1" applyFill="1" applyBorder="1" applyAlignment="1">
      <alignment horizontal="center" vertical="center"/>
    </xf>
    <xf numFmtId="0" fontId="75" fillId="4" borderId="47" xfId="8" applyFont="1" applyFill="1" applyBorder="1" applyAlignment="1">
      <alignment horizontal="center" vertical="center"/>
    </xf>
    <xf numFmtId="0" fontId="75" fillId="4" borderId="48" xfId="8" applyFont="1" applyFill="1" applyBorder="1" applyAlignment="1">
      <alignment horizontal="center" vertical="center"/>
    </xf>
    <xf numFmtId="0" fontId="75" fillId="4" borderId="49" xfId="8" applyFont="1" applyFill="1" applyBorder="1" applyAlignment="1">
      <alignment horizontal="center" vertical="center"/>
    </xf>
    <xf numFmtId="0" fontId="75" fillId="4" borderId="50" xfId="8" applyFont="1" applyFill="1" applyBorder="1" applyAlignment="1">
      <alignment horizontal="center" vertical="center"/>
    </xf>
    <xf numFmtId="0" fontId="75" fillId="4" borderId="51" xfId="8" applyFont="1" applyFill="1" applyBorder="1" applyAlignment="1">
      <alignment horizontal="center" vertical="center"/>
    </xf>
    <xf numFmtId="0" fontId="5" fillId="0" borderId="8" xfId="3" applyFont="1" applyBorder="1" applyAlignment="1">
      <alignment horizontal="center" vertical="center" wrapText="1"/>
    </xf>
    <xf numFmtId="0" fontId="5" fillId="0" borderId="10"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10" xfId="3" applyFont="1" applyBorder="1" applyAlignment="1">
      <alignment horizontal="center" vertical="center" wrapText="1"/>
    </xf>
    <xf numFmtId="3" fontId="0" fillId="7" borderId="2" xfId="1" applyNumberFormat="1" applyFont="1" applyFill="1" applyBorder="1" applyAlignment="1">
      <alignment vertical="center" wrapText="1"/>
    </xf>
    <xf numFmtId="3" fontId="0" fillId="0" borderId="2" xfId="1" applyNumberFormat="1" applyFont="1" applyFill="1" applyBorder="1" applyAlignment="1">
      <alignment vertical="center" wrapText="1"/>
    </xf>
    <xf numFmtId="3" fontId="41" fillId="4" borderId="17" xfId="1" applyNumberFormat="1" applyFont="1" applyFill="1" applyBorder="1" applyAlignment="1">
      <alignment vertical="center" wrapText="1"/>
    </xf>
    <xf numFmtId="3" fontId="41" fillId="7" borderId="2" xfId="1" applyNumberFormat="1" applyFont="1" applyFill="1" applyBorder="1" applyAlignment="1">
      <alignment vertical="center" wrapText="1"/>
    </xf>
    <xf numFmtId="3" fontId="0" fillId="4" borderId="17" xfId="1" applyNumberFormat="1" applyFont="1" applyFill="1" applyBorder="1" applyAlignment="1">
      <alignment vertical="center" wrapText="1"/>
    </xf>
    <xf numFmtId="3" fontId="0" fillId="7" borderId="2" xfId="1" applyNumberFormat="1" applyFont="1" applyFill="1" applyBorder="1" applyAlignment="1">
      <alignment vertical="center" wrapText="1"/>
    </xf>
  </cellXfs>
  <cellStyles count="14">
    <cellStyle name="=C:\WINNT35\SYSTEM32\COMMAND.COM" xfId="3" xr:uid="{7EE43DBD-C994-4978-8136-5CC71E76AAEA}"/>
    <cellStyle name="Heading 1 2" xfId="11" xr:uid="{D70688AF-73B3-461D-BDB7-A3F0CB20F1B5}"/>
    <cellStyle name="Heading 2 2" xfId="10" xr:uid="{08BA04DD-C08C-4D1E-AD98-758A3E3734A9}"/>
    <cellStyle name="HeadingTable" xfId="12" xr:uid="{8DC57B0C-1EF8-4289-B6CD-326892B03DDB}"/>
    <cellStyle name="Komma" xfId="1" builtinId="3"/>
    <cellStyle name="Link" xfId="13" builtinId="8"/>
    <cellStyle name="Normal" xfId="0" builtinId="0"/>
    <cellStyle name="Normal 2" xfId="5" xr:uid="{05CDFA4E-9AFF-4326-8A2B-853277B73167}"/>
    <cellStyle name="Normal 2 2" xfId="6" xr:uid="{C977C303-C250-492B-9D1A-70FF16683187}"/>
    <cellStyle name="Normal 4" xfId="8" xr:uid="{4AEE2369-6546-47B1-A12A-AE44EC408885}"/>
    <cellStyle name="Normal_20 OPR" xfId="7" xr:uid="{976E627A-138D-49E5-B59D-95AB7F649899}"/>
    <cellStyle name="optionalExposure" xfId="4" xr:uid="{5F9351B9-0C5A-4615-BE61-820869865928}"/>
    <cellStyle name="Procent" xfId="2" builtinId="5"/>
    <cellStyle name="Standard 3" xfId="9" xr:uid="{942C69CF-3308-4FD4-8615-813D2F4DC7EC}"/>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13</xdr:row>
      <xdr:rowOff>152400</xdr:rowOff>
    </xdr:from>
    <xdr:to>
      <xdr:col>11</xdr:col>
      <xdr:colOff>30957</xdr:colOff>
      <xdr:row>26</xdr:row>
      <xdr:rowOff>19050</xdr:rowOff>
    </xdr:to>
    <xdr:sp macro="" textlink="">
      <xdr:nvSpPr>
        <xdr:cNvPr id="2" name="AutoShape 1">
          <a:extLst>
            <a:ext uri="{FF2B5EF4-FFF2-40B4-BE49-F238E27FC236}">
              <a16:creationId xmlns:a16="http://schemas.microsoft.com/office/drawing/2014/main" id="{AC7BCD55-317E-4107-A0AE-9C823DFEDC86}"/>
            </a:ext>
          </a:extLst>
        </xdr:cNvPr>
        <xdr:cNvSpPr>
          <a:spLocks noChangeAspect="1" noChangeArrowheads="1"/>
        </xdr:cNvSpPr>
      </xdr:nvSpPr>
      <xdr:spPr bwMode="auto">
        <a:xfrm>
          <a:off x="3914775" y="3752850"/>
          <a:ext cx="921305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0261-C73B-4BD9-A20C-2EBF3892DC80}">
  <sheetPr>
    <tabColor theme="0" tint="-0.14999847407452621"/>
  </sheetPr>
  <dimension ref="A2:B21"/>
  <sheetViews>
    <sheetView tabSelected="1" workbookViewId="0">
      <selection activeCell="B30" sqref="B30"/>
    </sheetView>
  </sheetViews>
  <sheetFormatPr defaultRowHeight="15" x14ac:dyDescent="0.25"/>
  <cols>
    <col min="1" max="1" width="34.5703125" customWidth="1"/>
  </cols>
  <sheetData>
    <row r="2" spans="1:2" ht="26.25" x14ac:dyDescent="0.4">
      <c r="A2" s="29" t="s">
        <v>912</v>
      </c>
    </row>
    <row r="5" spans="1:2" x14ac:dyDescent="0.25">
      <c r="A5" t="s">
        <v>898</v>
      </c>
      <c r="B5" t="s">
        <v>914</v>
      </c>
    </row>
    <row r="6" spans="1:2" x14ac:dyDescent="0.25">
      <c r="A6" t="s">
        <v>901</v>
      </c>
      <c r="B6" t="s">
        <v>899</v>
      </c>
    </row>
    <row r="7" spans="1:2" x14ac:dyDescent="0.25">
      <c r="A7" t="s">
        <v>900</v>
      </c>
      <c r="B7" t="s">
        <v>902</v>
      </c>
    </row>
    <row r="8" spans="1:2" x14ac:dyDescent="0.25">
      <c r="A8" t="s">
        <v>903</v>
      </c>
      <c r="B8" t="s">
        <v>906</v>
      </c>
    </row>
    <row r="9" spans="1:2" x14ac:dyDescent="0.25">
      <c r="A9" t="s">
        <v>904</v>
      </c>
      <c r="B9" t="s">
        <v>905</v>
      </c>
    </row>
    <row r="13" spans="1:2" x14ac:dyDescent="0.25">
      <c r="A13" s="26" t="s">
        <v>907</v>
      </c>
    </row>
    <row r="14" spans="1:2" x14ac:dyDescent="0.25">
      <c r="A14" t="s">
        <v>916</v>
      </c>
    </row>
    <row r="15" spans="1:2" x14ac:dyDescent="0.25">
      <c r="A15" t="s">
        <v>908</v>
      </c>
    </row>
    <row r="16" spans="1:2" x14ac:dyDescent="0.25">
      <c r="A16" t="s">
        <v>909</v>
      </c>
    </row>
    <row r="19" spans="1:1" x14ac:dyDescent="0.25">
      <c r="A19" t="s">
        <v>915</v>
      </c>
    </row>
    <row r="20" spans="1:1" x14ac:dyDescent="0.25">
      <c r="A20" t="s">
        <v>910</v>
      </c>
    </row>
    <row r="21" spans="1:1" x14ac:dyDescent="0.25">
      <c r="A21" t="s">
        <v>911</v>
      </c>
    </row>
  </sheetData>
  <sheetProtection algorithmName="SHA-512" hashValue="BKCfJx+7xyX5Klcmzvk4jbjCC7EBKC8g6OepInPyH+AvaHxnf60NmTYTG9rZuuZP/9Inf4SsQuw88LK0RQ0phw==" saltValue="42WyuX6wk+mUAiTkQ0UoV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03758-037A-440D-9FD1-D366F43F5E8C}">
  <sheetPr>
    <tabColor theme="0" tint="-0.14999847407452621"/>
    <pageSetUpPr fitToPage="1"/>
  </sheetPr>
  <dimension ref="B1:D9"/>
  <sheetViews>
    <sheetView workbookViewId="0"/>
  </sheetViews>
  <sheetFormatPr defaultColWidth="9.140625" defaultRowHeight="15" x14ac:dyDescent="0.25"/>
  <cols>
    <col min="3" max="3" width="55.285156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73"/>
    </row>
    <row r="3" spans="2:4" ht="18.75" x14ac:dyDescent="0.3">
      <c r="B3" s="73" t="s">
        <v>315</v>
      </c>
    </row>
    <row r="6" spans="2:4" x14ac:dyDescent="0.25">
      <c r="D6" s="41" t="s">
        <v>2</v>
      </c>
    </row>
    <row r="7" spans="2:4" x14ac:dyDescent="0.25">
      <c r="B7" s="108">
        <v>1</v>
      </c>
      <c r="C7" s="109" t="s">
        <v>91</v>
      </c>
      <c r="D7" s="110">
        <f>+'EU OV1'!D44</f>
        <v>2554800.787</v>
      </c>
    </row>
    <row r="8" spans="2:4" x14ac:dyDescent="0.25">
      <c r="B8" s="108">
        <v>2</v>
      </c>
      <c r="C8" s="109" t="s">
        <v>338</v>
      </c>
      <c r="D8" s="505">
        <v>0</v>
      </c>
    </row>
    <row r="9" spans="2:4" x14ac:dyDescent="0.25">
      <c r="B9" s="108">
        <v>3</v>
      </c>
      <c r="C9" s="109" t="s">
        <v>339</v>
      </c>
      <c r="D9" s="506">
        <v>0</v>
      </c>
    </row>
  </sheetData>
  <sheetProtection algorithmName="SHA-512" hashValue="zwCzME31vHDoIN3l5ji7Buslpw2MMaxxbDtHCssNpzkwkMQHl4foO6v/lrSFTan0mf3f7kruAYpPfwpIywnBkg==" saltValue="+eoJeL16LV7L9vVHQuXqtQ==" spinCount="100000" sheet="1" objects="1" scenarios="1"/>
  <conditionalFormatting sqref="D7:D9">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&amp;CDA
Bilag IX</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D083-F27B-4931-9E8F-19A03C0DBDCC}">
  <sheetPr>
    <tabColor theme="0" tint="-0.14999847407452621"/>
    <pageSetUpPr fitToPage="1"/>
  </sheetPr>
  <dimension ref="B2:G26"/>
  <sheetViews>
    <sheetView workbookViewId="0"/>
  </sheetViews>
  <sheetFormatPr defaultColWidth="9.140625" defaultRowHeight="15" x14ac:dyDescent="0.25"/>
  <cols>
    <col min="3" max="3" width="63.140625" customWidth="1"/>
    <col min="4" max="4" width="17.85546875" customWidth="1"/>
    <col min="6" max="6" width="14.42578125" bestFit="1" customWidth="1"/>
    <col min="7" max="7" width="13.28515625" bestFit="1" customWidth="1"/>
  </cols>
  <sheetData>
    <row r="2" spans="2:6" ht="18.75" customHeight="1" x14ac:dyDescent="0.3">
      <c r="B2" s="111" t="s">
        <v>341</v>
      </c>
      <c r="C2" s="112"/>
      <c r="D2" s="112"/>
    </row>
    <row r="3" spans="2:6" ht="15" customHeight="1" x14ac:dyDescent="0.25">
      <c r="B3" s="112"/>
      <c r="C3" s="112"/>
      <c r="D3" s="112"/>
    </row>
    <row r="5" spans="2:6" x14ac:dyDescent="0.25">
      <c r="B5" s="14"/>
      <c r="C5" s="14"/>
      <c r="D5" s="113" t="s">
        <v>2</v>
      </c>
    </row>
    <row r="6" spans="2:6" x14ac:dyDescent="0.25">
      <c r="B6" s="14"/>
      <c r="C6" s="14"/>
      <c r="D6" s="52" t="s">
        <v>344</v>
      </c>
    </row>
    <row r="7" spans="2:6" x14ac:dyDescent="0.25">
      <c r="B7" s="114">
        <v>1</v>
      </c>
      <c r="C7" s="19" t="s">
        <v>345</v>
      </c>
      <c r="D7" s="278">
        <v>5076485</v>
      </c>
      <c r="E7" s="67"/>
      <c r="F7" s="17"/>
    </row>
    <row r="8" spans="2:6" ht="45" x14ac:dyDescent="0.25">
      <c r="B8" s="12">
        <v>2</v>
      </c>
      <c r="C8" s="19" t="s">
        <v>346</v>
      </c>
      <c r="D8" s="279"/>
      <c r="E8" s="67"/>
      <c r="F8" s="17"/>
    </row>
    <row r="9" spans="2:6" ht="30" x14ac:dyDescent="0.25">
      <c r="B9" s="12">
        <v>3</v>
      </c>
      <c r="C9" s="19" t="s">
        <v>347</v>
      </c>
      <c r="D9" s="280"/>
    </row>
    <row r="10" spans="2:6" ht="30" x14ac:dyDescent="0.25">
      <c r="B10" s="12">
        <v>4</v>
      </c>
      <c r="C10" s="58" t="s">
        <v>348</v>
      </c>
      <c r="D10" s="280"/>
    </row>
    <row r="11" spans="2:6" ht="60" x14ac:dyDescent="0.25">
      <c r="B11" s="12">
        <v>5</v>
      </c>
      <c r="C11" s="5" t="s">
        <v>349</v>
      </c>
      <c r="D11" s="280"/>
    </row>
    <row r="12" spans="2:6" ht="30" x14ac:dyDescent="0.25">
      <c r="B12" s="12">
        <v>6</v>
      </c>
      <c r="C12" s="19" t="s">
        <v>350</v>
      </c>
      <c r="D12" s="281"/>
    </row>
    <row r="13" spans="2:6" x14ac:dyDescent="0.25">
      <c r="B13" s="12">
        <v>7</v>
      </c>
      <c r="C13" s="19" t="s">
        <v>351</v>
      </c>
      <c r="D13" s="282"/>
    </row>
    <row r="14" spans="2:6" x14ac:dyDescent="0.25">
      <c r="B14" s="12">
        <v>8</v>
      </c>
      <c r="C14" s="19" t="s">
        <v>352</v>
      </c>
      <c r="D14" s="283">
        <f>1237+3414-1053</f>
        <v>3598</v>
      </c>
    </row>
    <row r="15" spans="2:6" x14ac:dyDescent="0.25">
      <c r="B15" s="12">
        <v>9</v>
      </c>
      <c r="C15" s="19" t="s">
        <v>353</v>
      </c>
      <c r="D15" s="280"/>
    </row>
    <row r="16" spans="2:6" ht="30" x14ac:dyDescent="0.25">
      <c r="B16" s="12">
        <v>10</v>
      </c>
      <c r="C16" s="19" t="s">
        <v>354</v>
      </c>
      <c r="D16" s="283">
        <v>943750</v>
      </c>
      <c r="F16" s="500"/>
    </row>
    <row r="17" spans="2:7" ht="45" x14ac:dyDescent="0.25">
      <c r="B17" s="12">
        <v>11</v>
      </c>
      <c r="C17" s="5" t="s">
        <v>355</v>
      </c>
      <c r="D17" s="518">
        <v>-1521</v>
      </c>
    </row>
    <row r="18" spans="2:7" ht="30" x14ac:dyDescent="0.25">
      <c r="B18" s="12" t="s">
        <v>356</v>
      </c>
      <c r="C18" s="5" t="s">
        <v>357</v>
      </c>
      <c r="D18" s="284">
        <v>-768043</v>
      </c>
    </row>
    <row r="19" spans="2:7" ht="30" x14ac:dyDescent="0.25">
      <c r="B19" s="12" t="s">
        <v>358</v>
      </c>
      <c r="C19" s="5" t="s">
        <v>359</v>
      </c>
      <c r="D19" s="284"/>
    </row>
    <row r="20" spans="2:7" x14ac:dyDescent="0.25">
      <c r="B20" s="12">
        <v>12</v>
      </c>
      <c r="C20" s="19" t="s">
        <v>360</v>
      </c>
      <c r="D20" s="280">
        <f>-102882-238-66434</f>
        <v>-169554</v>
      </c>
    </row>
    <row r="21" spans="2:7" x14ac:dyDescent="0.25">
      <c r="B21" s="12">
        <v>13</v>
      </c>
      <c r="C21" s="88" t="s">
        <v>361</v>
      </c>
      <c r="D21" s="284">
        <f>SUM(D7:D20)</f>
        <v>5084715</v>
      </c>
      <c r="F21" s="500"/>
      <c r="G21" s="501"/>
    </row>
    <row r="22" spans="2:7" x14ac:dyDescent="0.25">
      <c r="F22" s="38"/>
      <c r="G22" s="69"/>
    </row>
    <row r="26" spans="2:7" x14ac:dyDescent="0.25">
      <c r="D26" s="267"/>
    </row>
  </sheetData>
  <sheetProtection algorithmName="SHA-512" hashValue="JvBmHYS6I783+7iOUBHU4s3fS3vVPRyY1jTcyF8XcuSF0ooJiUQY0trii9pZK/SMf5MAk2RumeVbbLu3gtHljA==" saltValue="gh5D8j/RHcRU0IYH//cb2w==" spinCount="100000" sheet="1" objects="1" scenarios="1"/>
  <pageMargins left="0.70866141732283472" right="0.70866141732283472" top="0.74803149606299213" bottom="0.74803149606299213" header="0.31496062992125984" footer="0.31496062992125984"/>
  <pageSetup paperSize="9" scale="96" orientation="portrait" r:id="rId1"/>
  <headerFooter>
    <oddHeader>&amp;CDA
Bilag XI</oddHeader>
    <oddFooter>&amp;C1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27959-C4D5-48B3-8DE6-ACBB1BC6FCF8}">
  <sheetPr>
    <tabColor theme="0" tint="-0.14999847407452621"/>
    <pageSetUpPr fitToPage="1"/>
  </sheetPr>
  <dimension ref="A2:M72"/>
  <sheetViews>
    <sheetView workbookViewId="0"/>
  </sheetViews>
  <sheetFormatPr defaultColWidth="9.140625" defaultRowHeight="43.5" customHeight="1" x14ac:dyDescent="0.25"/>
  <cols>
    <col min="2" max="2" width="8.5703125" style="64" customWidth="1"/>
    <col min="3" max="3" width="71.85546875" customWidth="1"/>
    <col min="4" max="5" width="21.7109375" customWidth="1"/>
  </cols>
  <sheetData>
    <row r="2" spans="1:5" ht="43.5" customHeight="1" x14ac:dyDescent="0.3">
      <c r="A2" s="119"/>
      <c r="B2" s="111" t="s">
        <v>342</v>
      </c>
    </row>
    <row r="4" spans="1:5" ht="30" x14ac:dyDescent="0.25">
      <c r="B4" s="483"/>
      <c r="C4" s="120"/>
      <c r="D4" s="295" t="s">
        <v>362</v>
      </c>
      <c r="E4" s="295"/>
    </row>
    <row r="5" spans="1:5" ht="43.5" customHeight="1" x14ac:dyDescent="0.25">
      <c r="B5" s="591"/>
      <c r="C5" s="592"/>
      <c r="D5" s="89" t="s">
        <v>2</v>
      </c>
      <c r="E5" s="89" t="s">
        <v>3</v>
      </c>
    </row>
    <row r="6" spans="1:5" ht="43.5" customHeight="1" x14ac:dyDescent="0.25">
      <c r="B6" s="593"/>
      <c r="C6" s="594"/>
      <c r="D6" s="519">
        <v>44926</v>
      </c>
      <c r="E6" s="519">
        <v>44561</v>
      </c>
    </row>
    <row r="7" spans="1:5" ht="15" x14ac:dyDescent="0.25">
      <c r="B7" s="588" t="s">
        <v>363</v>
      </c>
      <c r="C7" s="589"/>
      <c r="D7" s="589"/>
      <c r="E7" s="590"/>
    </row>
    <row r="8" spans="1:5" ht="15" x14ac:dyDescent="0.25">
      <c r="B8" s="89">
        <v>1</v>
      </c>
      <c r="C8" s="5" t="s">
        <v>364</v>
      </c>
      <c r="D8" s="285">
        <f>5076485-1053</f>
        <v>5075432</v>
      </c>
      <c r="E8" s="285">
        <v>4716942</v>
      </c>
    </row>
    <row r="9" spans="1:5" ht="30" x14ac:dyDescent="0.25">
      <c r="B9" s="55">
        <v>2</v>
      </c>
      <c r="C9" s="5" t="s">
        <v>365</v>
      </c>
      <c r="D9" s="285"/>
      <c r="E9" s="285"/>
    </row>
    <row r="10" spans="1:5" ht="30" x14ac:dyDescent="0.25">
      <c r="B10" s="55">
        <v>3</v>
      </c>
      <c r="C10" s="5" t="s">
        <v>366</v>
      </c>
      <c r="D10" s="285"/>
      <c r="E10" s="285"/>
    </row>
    <row r="11" spans="1:5" ht="30" x14ac:dyDescent="0.25">
      <c r="B11" s="55">
        <v>4</v>
      </c>
      <c r="C11" s="5" t="s">
        <v>367</v>
      </c>
      <c r="D11" s="285"/>
      <c r="E11" s="285"/>
    </row>
    <row r="12" spans="1:5" ht="15" x14ac:dyDescent="0.25">
      <c r="B12" s="55">
        <v>5</v>
      </c>
      <c r="C12" s="121" t="s">
        <v>368</v>
      </c>
      <c r="D12" s="287">
        <f>-72606+4651</f>
        <v>-67955</v>
      </c>
      <c r="E12" s="285"/>
    </row>
    <row r="13" spans="1:5" ht="15" x14ac:dyDescent="0.25">
      <c r="B13" s="89">
        <v>6</v>
      </c>
      <c r="C13" s="5" t="s">
        <v>369</v>
      </c>
      <c r="D13" s="285">
        <f>-238-102882</f>
        <v>-103120</v>
      </c>
      <c r="E13" s="285">
        <v>-93895</v>
      </c>
    </row>
    <row r="14" spans="1:5" ht="15" x14ac:dyDescent="0.25">
      <c r="B14" s="122">
        <v>7</v>
      </c>
      <c r="C14" s="123" t="s">
        <v>370</v>
      </c>
      <c r="D14" s="289">
        <f>SUM(D8:D13)</f>
        <v>4904357</v>
      </c>
      <c r="E14" s="289">
        <f>SUM(E8:E13)</f>
        <v>4623047</v>
      </c>
    </row>
    <row r="15" spans="1:5" ht="15" x14ac:dyDescent="0.25">
      <c r="B15" s="588" t="s">
        <v>371</v>
      </c>
      <c r="C15" s="589"/>
      <c r="D15" s="589"/>
      <c r="E15" s="590"/>
    </row>
    <row r="16" spans="1:5" ht="45" x14ac:dyDescent="0.25">
      <c r="B16" s="458">
        <v>8</v>
      </c>
      <c r="C16" s="125" t="s">
        <v>372</v>
      </c>
      <c r="D16" s="286">
        <v>1237</v>
      </c>
      <c r="E16" s="287">
        <v>5517</v>
      </c>
    </row>
    <row r="17" spans="2:5" ht="30" x14ac:dyDescent="0.25">
      <c r="B17" s="458" t="s">
        <v>373</v>
      </c>
      <c r="C17" s="126" t="s">
        <v>374</v>
      </c>
      <c r="D17" s="287"/>
      <c r="E17" s="287"/>
    </row>
    <row r="18" spans="2:5" ht="30" x14ac:dyDescent="0.25">
      <c r="B18" s="458">
        <v>9</v>
      </c>
      <c r="C18" s="5" t="s">
        <v>375</v>
      </c>
      <c r="D18" s="287">
        <v>3414</v>
      </c>
      <c r="E18" s="287">
        <v>2060</v>
      </c>
    </row>
    <row r="19" spans="2:5" ht="30" x14ac:dyDescent="0.25">
      <c r="B19" s="458" t="s">
        <v>312</v>
      </c>
      <c r="C19" s="127" t="s">
        <v>376</v>
      </c>
      <c r="D19" s="287"/>
      <c r="E19" s="287"/>
    </row>
    <row r="20" spans="2:5" ht="15" x14ac:dyDescent="0.25">
      <c r="B20" s="458" t="s">
        <v>313</v>
      </c>
      <c r="C20" s="127" t="s">
        <v>377</v>
      </c>
      <c r="D20" s="287"/>
      <c r="E20" s="287"/>
    </row>
    <row r="21" spans="2:5" ht="30" x14ac:dyDescent="0.25">
      <c r="B21" s="460">
        <v>10</v>
      </c>
      <c r="C21" s="87" t="s">
        <v>378</v>
      </c>
      <c r="D21" s="286"/>
      <c r="E21" s="287"/>
    </row>
    <row r="22" spans="2:5" ht="30" x14ac:dyDescent="0.25">
      <c r="B22" s="460" t="s">
        <v>379</v>
      </c>
      <c r="C22" s="6" t="s">
        <v>380</v>
      </c>
      <c r="D22" s="286"/>
      <c r="E22" s="287"/>
    </row>
    <row r="23" spans="2:5" ht="30" x14ac:dyDescent="0.25">
      <c r="B23" s="460" t="s">
        <v>381</v>
      </c>
      <c r="C23" s="128" t="s">
        <v>382</v>
      </c>
      <c r="D23" s="286"/>
      <c r="E23" s="287"/>
    </row>
    <row r="24" spans="2:5" ht="15" x14ac:dyDescent="0.25">
      <c r="B24" s="458">
        <v>11</v>
      </c>
      <c r="C24" s="5" t="s">
        <v>383</v>
      </c>
      <c r="D24" s="287"/>
      <c r="E24" s="287"/>
    </row>
    <row r="25" spans="2:5" ht="30" x14ac:dyDescent="0.25">
      <c r="B25" s="458">
        <v>12</v>
      </c>
      <c r="C25" s="5" t="s">
        <v>384</v>
      </c>
      <c r="D25" s="287"/>
      <c r="E25" s="287"/>
    </row>
    <row r="26" spans="2:5" ht="15" x14ac:dyDescent="0.25">
      <c r="B26" s="129">
        <v>13</v>
      </c>
      <c r="C26" s="130" t="s">
        <v>385</v>
      </c>
      <c r="D26" s="289">
        <f>SUM(D16:D25)</f>
        <v>4651</v>
      </c>
      <c r="E26" s="289">
        <f>SUM(E16:E25)</f>
        <v>7577</v>
      </c>
    </row>
    <row r="27" spans="2:5" ht="15" x14ac:dyDescent="0.25">
      <c r="B27" s="595" t="s">
        <v>386</v>
      </c>
      <c r="C27" s="596"/>
      <c r="D27" s="596"/>
      <c r="E27" s="597"/>
    </row>
    <row r="28" spans="2:5" ht="30" x14ac:dyDescent="0.25">
      <c r="B28" s="89">
        <v>14</v>
      </c>
      <c r="C28" s="5" t="s">
        <v>387</v>
      </c>
      <c r="D28" s="286"/>
      <c r="E28" s="287"/>
    </row>
    <row r="29" spans="2:5" ht="30" x14ac:dyDescent="0.25">
      <c r="B29" s="89">
        <v>15</v>
      </c>
      <c r="C29" s="5" t="s">
        <v>388</v>
      </c>
      <c r="D29" s="288"/>
      <c r="E29" s="287"/>
    </row>
    <row r="30" spans="2:5" ht="15" x14ac:dyDescent="0.25">
      <c r="B30" s="89">
        <v>16</v>
      </c>
      <c r="C30" s="5" t="s">
        <v>389</v>
      </c>
      <c r="D30" s="287"/>
      <c r="E30" s="287"/>
    </row>
    <row r="31" spans="2:5" ht="30" x14ac:dyDescent="0.25">
      <c r="B31" s="458" t="s">
        <v>390</v>
      </c>
      <c r="C31" s="5" t="s">
        <v>391</v>
      </c>
      <c r="D31" s="287"/>
      <c r="E31" s="287"/>
    </row>
    <row r="32" spans="2:5" ht="15" x14ac:dyDescent="0.25">
      <c r="B32" s="458">
        <v>17</v>
      </c>
      <c r="C32" s="5" t="s">
        <v>392</v>
      </c>
      <c r="D32" s="287"/>
      <c r="E32" s="287"/>
    </row>
    <row r="33" spans="2:5" ht="15" x14ac:dyDescent="0.25">
      <c r="B33" s="458" t="s">
        <v>393</v>
      </c>
      <c r="C33" s="5" t="s">
        <v>394</v>
      </c>
      <c r="D33" s="287"/>
      <c r="E33" s="287"/>
    </row>
    <row r="34" spans="2:5" ht="15" x14ac:dyDescent="0.25">
      <c r="B34" s="129">
        <v>18</v>
      </c>
      <c r="C34" s="130" t="s">
        <v>395</v>
      </c>
      <c r="D34" s="124"/>
      <c r="E34" s="124"/>
    </row>
    <row r="35" spans="2:5" ht="15" x14ac:dyDescent="0.25">
      <c r="B35" s="588" t="s">
        <v>396</v>
      </c>
      <c r="C35" s="589"/>
      <c r="D35" s="589"/>
      <c r="E35" s="590"/>
    </row>
    <row r="36" spans="2:5" ht="15" x14ac:dyDescent="0.25">
      <c r="B36" s="89">
        <v>19</v>
      </c>
      <c r="C36" s="5" t="s">
        <v>397</v>
      </c>
      <c r="D36" s="286">
        <f>832116+606490</f>
        <v>1438606</v>
      </c>
      <c r="E36" s="287">
        <v>1672773</v>
      </c>
    </row>
    <row r="37" spans="2:5" ht="15" x14ac:dyDescent="0.25">
      <c r="B37" s="89">
        <v>20</v>
      </c>
      <c r="C37" s="5" t="s">
        <v>398</v>
      </c>
      <c r="D37" s="286">
        <f>+D39-D36</f>
        <v>-494856</v>
      </c>
      <c r="E37" s="287">
        <v>-454785</v>
      </c>
    </row>
    <row r="38" spans="2:5" ht="30" x14ac:dyDescent="0.25">
      <c r="B38" s="89">
        <v>21</v>
      </c>
      <c r="C38" s="58" t="s">
        <v>399</v>
      </c>
      <c r="D38" s="287"/>
      <c r="E38" s="287"/>
    </row>
    <row r="39" spans="2:5" ht="15" x14ac:dyDescent="0.25">
      <c r="B39" s="129">
        <v>22</v>
      </c>
      <c r="C39" s="130" t="s">
        <v>400</v>
      </c>
      <c r="D39" s="289">
        <f>+'EU LR1 - LRSum'!D16</f>
        <v>943750</v>
      </c>
      <c r="E39" s="289">
        <f>SUM(E36:E38)</f>
        <v>1217988</v>
      </c>
    </row>
    <row r="40" spans="2:5" ht="15" x14ac:dyDescent="0.25">
      <c r="B40" s="582" t="s">
        <v>401</v>
      </c>
      <c r="C40" s="583"/>
      <c r="D40" s="583"/>
      <c r="E40" s="584"/>
    </row>
    <row r="41" spans="2:5" ht="30" x14ac:dyDescent="0.25">
      <c r="B41" s="458" t="s">
        <v>402</v>
      </c>
      <c r="C41" s="5" t="s">
        <v>403</v>
      </c>
      <c r="D41" s="287">
        <f>+'EU LR1 - LRSum'!D18</f>
        <v>-768043</v>
      </c>
      <c r="E41" s="287">
        <v>-875386</v>
      </c>
    </row>
    <row r="42" spans="2:5" ht="30" x14ac:dyDescent="0.25">
      <c r="B42" s="458" t="s">
        <v>404</v>
      </c>
      <c r="C42" s="5" t="s">
        <v>405</v>
      </c>
      <c r="D42" s="115"/>
      <c r="E42" s="287"/>
    </row>
    <row r="43" spans="2:5" ht="30" x14ac:dyDescent="0.25">
      <c r="B43" s="131" t="s">
        <v>406</v>
      </c>
      <c r="C43" s="126" t="s">
        <v>407</v>
      </c>
      <c r="D43" s="115"/>
      <c r="E43" s="287"/>
    </row>
    <row r="44" spans="2:5" ht="30" x14ac:dyDescent="0.25">
      <c r="B44" s="131" t="s">
        <v>408</v>
      </c>
      <c r="C44" s="126" t="s">
        <v>409</v>
      </c>
      <c r="D44" s="117"/>
      <c r="E44" s="287"/>
    </row>
    <row r="45" spans="2:5" ht="30" x14ac:dyDescent="0.25">
      <c r="B45" s="131" t="s">
        <v>410</v>
      </c>
      <c r="C45" s="132" t="s">
        <v>411</v>
      </c>
      <c r="D45" s="117"/>
      <c r="E45" s="287"/>
    </row>
    <row r="46" spans="2:5" ht="30" x14ac:dyDescent="0.25">
      <c r="B46" s="131" t="s">
        <v>412</v>
      </c>
      <c r="C46" s="126" t="s">
        <v>413</v>
      </c>
      <c r="D46" s="115"/>
      <c r="E46" s="287"/>
    </row>
    <row r="47" spans="2:5" ht="15" x14ac:dyDescent="0.25">
      <c r="B47" s="131" t="s">
        <v>414</v>
      </c>
      <c r="C47" s="126" t="s">
        <v>415</v>
      </c>
      <c r="D47" s="115"/>
      <c r="E47" s="287"/>
    </row>
    <row r="48" spans="2:5" ht="30" x14ac:dyDescent="0.25">
      <c r="B48" s="131" t="s">
        <v>416</v>
      </c>
      <c r="C48" s="126" t="s">
        <v>417</v>
      </c>
      <c r="D48" s="115"/>
      <c r="E48" s="287"/>
    </row>
    <row r="49" spans="2:7" ht="30" x14ac:dyDescent="0.25">
      <c r="B49" s="131" t="s">
        <v>418</v>
      </c>
      <c r="C49" s="126" t="s">
        <v>419</v>
      </c>
      <c r="D49" s="115"/>
      <c r="E49" s="287"/>
    </row>
    <row r="50" spans="2:7" ht="15" x14ac:dyDescent="0.25">
      <c r="B50" s="131" t="s">
        <v>420</v>
      </c>
      <c r="C50" s="126" t="s">
        <v>421</v>
      </c>
      <c r="D50" s="287"/>
      <c r="E50" s="287"/>
    </row>
    <row r="51" spans="2:7" ht="15" x14ac:dyDescent="0.25">
      <c r="B51" s="133" t="s">
        <v>422</v>
      </c>
      <c r="C51" s="134" t="s">
        <v>423</v>
      </c>
      <c r="D51" s="521">
        <f>SUM(D41:D50)</f>
        <v>-768043</v>
      </c>
      <c r="E51" s="522">
        <f>SUM(E41:E50)</f>
        <v>-875386</v>
      </c>
    </row>
    <row r="52" spans="2:7" ht="15" x14ac:dyDescent="0.25">
      <c r="B52" s="585" t="s">
        <v>424</v>
      </c>
      <c r="C52" s="586"/>
      <c r="D52" s="586"/>
      <c r="E52" s="587"/>
    </row>
    <row r="53" spans="2:7" ht="15" x14ac:dyDescent="0.25">
      <c r="B53" s="89">
        <v>23</v>
      </c>
      <c r="C53" s="135" t="s">
        <v>283</v>
      </c>
      <c r="D53" s="286">
        <v>508215</v>
      </c>
      <c r="E53" s="287">
        <v>505858</v>
      </c>
    </row>
    <row r="54" spans="2:7" ht="15" x14ac:dyDescent="0.25">
      <c r="B54" s="136">
        <v>24</v>
      </c>
      <c r="C54" s="137" t="s">
        <v>361</v>
      </c>
      <c r="D54" s="290">
        <f>+D14+D26+D39+D51</f>
        <v>5084715</v>
      </c>
      <c r="E54" s="290">
        <f>+E14+E26+E39+E51</f>
        <v>4973226</v>
      </c>
      <c r="G54" s="267"/>
    </row>
    <row r="55" spans="2:7" ht="15" x14ac:dyDescent="0.25">
      <c r="B55" s="585" t="s">
        <v>65</v>
      </c>
      <c r="C55" s="586"/>
      <c r="D55" s="586"/>
      <c r="E55" s="587"/>
      <c r="G55" s="267"/>
    </row>
    <row r="56" spans="2:7" ht="15" x14ac:dyDescent="0.25">
      <c r="B56" s="89">
        <v>25</v>
      </c>
      <c r="C56" s="14" t="s">
        <v>425</v>
      </c>
      <c r="D56" s="291">
        <f>+D53/D54</f>
        <v>9.9949554694805903E-2</v>
      </c>
      <c r="E56" s="291">
        <f>+E53/E54</f>
        <v>0.10171627028411739</v>
      </c>
    </row>
    <row r="57" spans="2:7" ht="30" x14ac:dyDescent="0.25">
      <c r="B57" s="458" t="s">
        <v>426</v>
      </c>
      <c r="C57" s="5" t="s">
        <v>427</v>
      </c>
      <c r="D57" s="292">
        <f>+D56</f>
        <v>9.9949554694805903E-2</v>
      </c>
      <c r="E57" s="292">
        <f>+E56</f>
        <v>0.10171627028411739</v>
      </c>
    </row>
    <row r="58" spans="2:7" ht="30" x14ac:dyDescent="0.25">
      <c r="B58" s="458" t="s">
        <v>428</v>
      </c>
      <c r="C58" s="58" t="s">
        <v>429</v>
      </c>
      <c r="D58" s="292">
        <f>+D57</f>
        <v>9.9949554694805903E-2</v>
      </c>
      <c r="E58" s="292">
        <f>+E57</f>
        <v>0.10171627028411739</v>
      </c>
    </row>
    <row r="59" spans="2:7" ht="15" x14ac:dyDescent="0.25">
      <c r="B59" s="458">
        <v>26</v>
      </c>
      <c r="C59" s="5" t="s">
        <v>430</v>
      </c>
      <c r="D59" s="293">
        <v>0.03</v>
      </c>
      <c r="E59" s="293">
        <f>+D59</f>
        <v>0.03</v>
      </c>
    </row>
    <row r="60" spans="2:7" ht="30" x14ac:dyDescent="0.25">
      <c r="B60" s="458" t="s">
        <v>431</v>
      </c>
      <c r="C60" s="5" t="s">
        <v>60</v>
      </c>
      <c r="D60" s="293">
        <v>0</v>
      </c>
      <c r="E60" s="293">
        <v>0</v>
      </c>
    </row>
    <row r="61" spans="2:7" ht="15" x14ac:dyDescent="0.25">
      <c r="B61" s="458" t="s">
        <v>432</v>
      </c>
      <c r="C61" s="5" t="s">
        <v>433</v>
      </c>
      <c r="D61" s="293">
        <v>0</v>
      </c>
      <c r="E61" s="293">
        <v>0</v>
      </c>
    </row>
    <row r="62" spans="2:7" ht="15" x14ac:dyDescent="0.25">
      <c r="B62" s="458">
        <v>27</v>
      </c>
      <c r="C62" s="58" t="s">
        <v>53</v>
      </c>
      <c r="D62" s="293">
        <v>0</v>
      </c>
      <c r="E62" s="293">
        <v>0</v>
      </c>
    </row>
    <row r="63" spans="2:7" ht="15" x14ac:dyDescent="0.25">
      <c r="B63" s="459" t="s">
        <v>434</v>
      </c>
      <c r="C63" s="58" t="s">
        <v>51</v>
      </c>
      <c r="D63" s="294">
        <f>+D59</f>
        <v>0.03</v>
      </c>
      <c r="E63" s="520">
        <v>0.03</v>
      </c>
    </row>
    <row r="64" spans="2:7" ht="15" x14ac:dyDescent="0.25">
      <c r="B64" s="582" t="s">
        <v>435</v>
      </c>
      <c r="C64" s="583"/>
      <c r="D64" s="583"/>
      <c r="E64" s="584"/>
    </row>
    <row r="65" spans="2:13" ht="15" x14ac:dyDescent="0.25">
      <c r="B65" s="459" t="s">
        <v>436</v>
      </c>
      <c r="C65" s="58" t="s">
        <v>437</v>
      </c>
      <c r="D65" s="116"/>
      <c r="E65" s="118"/>
      <c r="M65" s="26"/>
    </row>
    <row r="66" spans="2:13" ht="15" x14ac:dyDescent="0.25">
      <c r="B66" s="585" t="s">
        <v>438</v>
      </c>
      <c r="C66" s="586"/>
      <c r="D66" s="586"/>
      <c r="E66" s="587"/>
    </row>
    <row r="67" spans="2:13" ht="36" customHeight="1" x14ac:dyDescent="0.25">
      <c r="B67" s="458">
        <v>28</v>
      </c>
      <c r="C67" s="5" t="s">
        <v>439</v>
      </c>
      <c r="D67" s="117" t="s">
        <v>659</v>
      </c>
      <c r="E67" s="115"/>
      <c r="M67" s="67"/>
    </row>
    <row r="68" spans="2:13" ht="34.5" customHeight="1" x14ac:dyDescent="0.25">
      <c r="B68" s="458">
        <v>29</v>
      </c>
      <c r="C68" s="5" t="s">
        <v>440</v>
      </c>
      <c r="D68" s="117" t="s">
        <v>659</v>
      </c>
      <c r="E68" s="115"/>
      <c r="M68" s="67"/>
    </row>
    <row r="69" spans="2:13" ht="75" x14ac:dyDescent="0.25">
      <c r="B69" s="459">
        <v>30</v>
      </c>
      <c r="C69" s="58" t="s">
        <v>441</v>
      </c>
      <c r="D69" s="296">
        <f>+D54</f>
        <v>5084715</v>
      </c>
      <c r="E69" s="296">
        <f>+E54</f>
        <v>4973226</v>
      </c>
      <c r="M69" s="26"/>
    </row>
    <row r="70" spans="2:13" ht="75" x14ac:dyDescent="0.25">
      <c r="B70" s="459" t="s">
        <v>442</v>
      </c>
      <c r="C70" s="58" t="s">
        <v>443</v>
      </c>
      <c r="D70" s="296">
        <f>+D54</f>
        <v>5084715</v>
      </c>
      <c r="E70" s="296">
        <f>+E54</f>
        <v>4973226</v>
      </c>
      <c r="M70" s="26"/>
    </row>
    <row r="71" spans="2:13" ht="75" x14ac:dyDescent="0.25">
      <c r="B71" s="458">
        <v>31</v>
      </c>
      <c r="C71" s="5" t="s">
        <v>444</v>
      </c>
      <c r="D71" s="292">
        <f>+D56</f>
        <v>9.9949554694805903E-2</v>
      </c>
      <c r="E71" s="292">
        <f>+E56</f>
        <v>0.10171627028411739</v>
      </c>
      <c r="M71" s="67"/>
    </row>
    <row r="72" spans="2:13" ht="75" x14ac:dyDescent="0.25">
      <c r="B72" s="458" t="s">
        <v>445</v>
      </c>
      <c r="C72" s="5" t="s">
        <v>446</v>
      </c>
      <c r="D72" s="292">
        <f>+D71</f>
        <v>9.9949554694805903E-2</v>
      </c>
      <c r="E72" s="292">
        <f>+E71</f>
        <v>0.10171627028411739</v>
      </c>
      <c r="M72" s="67"/>
    </row>
  </sheetData>
  <mergeCells count="10">
    <mergeCell ref="B35:E35"/>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scale="85" fitToHeight="0" orientation="portrait" verticalDpi="1200" r:id="rId1"/>
  <headerFooter>
    <oddHeader>&amp;CDA 
Bilag XI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0E63B-511A-4E5F-8681-D9C73E2A2F79}">
  <sheetPr>
    <tabColor theme="0" tint="-0.14999847407452621"/>
    <pageSetUpPr fitToPage="1"/>
  </sheetPr>
  <dimension ref="B2:F17"/>
  <sheetViews>
    <sheetView workbookViewId="0"/>
  </sheetViews>
  <sheetFormatPr defaultColWidth="9.140625" defaultRowHeight="15" x14ac:dyDescent="0.25"/>
  <cols>
    <col min="3" max="3" width="51.42578125" customWidth="1"/>
    <col min="4" max="4" width="34.85546875" customWidth="1"/>
  </cols>
  <sheetData>
    <row r="2" spans="2:6" ht="18.75" customHeight="1" x14ac:dyDescent="0.25">
      <c r="B2" s="598" t="s">
        <v>343</v>
      </c>
      <c r="C2" s="598"/>
      <c r="D2" s="598"/>
    </row>
    <row r="3" spans="2:6" x14ac:dyDescent="0.25">
      <c r="B3" s="598"/>
      <c r="C3" s="598"/>
      <c r="D3" s="598"/>
    </row>
    <row r="4" spans="2:6" x14ac:dyDescent="0.25">
      <c r="D4" s="138" t="s">
        <v>2</v>
      </c>
    </row>
    <row r="5" spans="2:6" x14ac:dyDescent="0.25">
      <c r="B5" s="14"/>
      <c r="C5" s="14"/>
      <c r="D5" s="297" t="s">
        <v>362</v>
      </c>
    </row>
    <row r="6" spans="2:6" ht="30" x14ac:dyDescent="0.25">
      <c r="B6" s="139" t="s">
        <v>447</v>
      </c>
      <c r="C6" s="139" t="s">
        <v>448</v>
      </c>
      <c r="D6" s="296">
        <f>+'EU LR2 - LRCom'!D8+'EU LR2 - LRCom'!D51</f>
        <v>4307389</v>
      </c>
      <c r="F6" s="17"/>
    </row>
    <row r="7" spans="2:6" x14ac:dyDescent="0.25">
      <c r="B7" s="125" t="s">
        <v>449</v>
      </c>
      <c r="C7" s="140" t="s">
        <v>450</v>
      </c>
      <c r="D7" s="285">
        <v>1360497</v>
      </c>
    </row>
    <row r="8" spans="2:6" x14ac:dyDescent="0.25">
      <c r="B8" s="125" t="s">
        <v>451</v>
      </c>
      <c r="C8" s="140" t="s">
        <v>452</v>
      </c>
      <c r="D8" s="296">
        <f>SUM(D9:D17)</f>
        <v>2892183</v>
      </c>
    </row>
    <row r="9" spans="2:6" ht="30" x14ac:dyDescent="0.25">
      <c r="B9" s="125" t="s">
        <v>453</v>
      </c>
      <c r="C9" s="140" t="s">
        <v>454</v>
      </c>
      <c r="D9" s="285"/>
    </row>
    <row r="10" spans="2:6" ht="30" x14ac:dyDescent="0.25">
      <c r="B10" s="125" t="s">
        <v>455</v>
      </c>
      <c r="C10" s="140" t="s">
        <v>456</v>
      </c>
      <c r="D10" s="285">
        <v>903316</v>
      </c>
    </row>
    <row r="11" spans="2:6" ht="60" x14ac:dyDescent="0.25">
      <c r="B11" s="125" t="s">
        <v>457</v>
      </c>
      <c r="C11" s="141" t="s">
        <v>458</v>
      </c>
      <c r="D11" s="285">
        <v>989</v>
      </c>
    </row>
    <row r="12" spans="2:6" x14ac:dyDescent="0.25">
      <c r="B12" s="125" t="s">
        <v>459</v>
      </c>
      <c r="C12" s="140" t="s">
        <v>460</v>
      </c>
      <c r="D12" s="285">
        <v>35350</v>
      </c>
    </row>
    <row r="13" spans="2:6" x14ac:dyDescent="0.25">
      <c r="B13" s="125" t="s">
        <v>461</v>
      </c>
      <c r="C13" s="140" t="s">
        <v>462</v>
      </c>
      <c r="D13" s="285">
        <v>207975</v>
      </c>
    </row>
    <row r="14" spans="2:6" x14ac:dyDescent="0.25">
      <c r="B14" s="125" t="s">
        <v>463</v>
      </c>
      <c r="C14" s="140" t="s">
        <v>464</v>
      </c>
      <c r="D14" s="285">
        <v>1263606</v>
      </c>
    </row>
    <row r="15" spans="2:6" x14ac:dyDescent="0.25">
      <c r="B15" s="125" t="s">
        <v>465</v>
      </c>
      <c r="C15" s="141" t="s">
        <v>466</v>
      </c>
      <c r="D15" s="285">
        <v>247293</v>
      </c>
    </row>
    <row r="16" spans="2:6" x14ac:dyDescent="0.25">
      <c r="B16" s="125" t="s">
        <v>467</v>
      </c>
      <c r="C16" s="140" t="s">
        <v>468</v>
      </c>
      <c r="D16" s="285">
        <v>82136</v>
      </c>
    </row>
    <row r="17" spans="2:4" ht="45" x14ac:dyDescent="0.25">
      <c r="B17" s="125" t="s">
        <v>469</v>
      </c>
      <c r="C17" s="140" t="s">
        <v>470</v>
      </c>
      <c r="D17" s="285">
        <v>151518</v>
      </c>
    </row>
  </sheetData>
  <sheetProtection algorithmName="SHA-512" hashValue="G0SZAF7p8zbyj9oH8tLXxwg8ZyVWvVRWDy8gwzuXrE/+H+bX170EHr1ilMwtlsRRegQtgp94JltHuSU/Y2Rifg==" saltValue="YyFPEooQ4hXqM6RoRqqgXA==" spinCount="100000" sheet="1" objects="1" scenarios="1"/>
  <mergeCells count="1">
    <mergeCell ref="B2:D3"/>
  </mergeCells>
  <pageMargins left="0.70866141732283472" right="0.70866141732283472" top="0.74803149606299213" bottom="0.74803149606299213" header="0.31496062992125984" footer="0.31496062992125984"/>
  <pageSetup paperSize="9" scale="91" fitToHeight="0" orientation="portrait" verticalDpi="1200" r:id="rId1"/>
  <headerFooter>
    <oddHeader>&amp;CDA 
Bilag XI</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EAC45-782C-41D7-A5EE-F62C58BD5458}">
  <sheetPr>
    <tabColor theme="0" tint="-0.14999847407452621"/>
    <pageSetUpPr fitToPage="1"/>
  </sheetPr>
  <dimension ref="A2:U49"/>
  <sheetViews>
    <sheetView workbookViewId="0"/>
  </sheetViews>
  <sheetFormatPr defaultColWidth="9.140625" defaultRowHeight="15" x14ac:dyDescent="0.25"/>
  <cols>
    <col min="1" max="1" width="6.42578125" customWidth="1"/>
    <col min="2" max="2" width="10.28515625" customWidth="1"/>
    <col min="3" max="3" width="26.5703125" customWidth="1"/>
    <col min="4" max="6" width="12.5703125" bestFit="1" customWidth="1"/>
    <col min="7" max="7" width="10.42578125" bestFit="1" customWidth="1"/>
    <col min="8" max="11" width="13.28515625" bestFit="1" customWidth="1"/>
    <col min="12" max="15" width="0" hidden="1" customWidth="1"/>
  </cols>
  <sheetData>
    <row r="2" spans="1:13" ht="18.75" x14ac:dyDescent="0.25">
      <c r="B2" s="142" t="s">
        <v>471</v>
      </c>
    </row>
    <row r="3" spans="1:13" ht="15.75" x14ac:dyDescent="0.25">
      <c r="A3" s="144"/>
    </row>
    <row r="4" spans="1:13" ht="30" x14ac:dyDescent="0.25">
      <c r="A4" s="144"/>
      <c r="C4" s="125" t="s">
        <v>913</v>
      </c>
    </row>
    <row r="5" spans="1:13" ht="15.75" x14ac:dyDescent="0.25">
      <c r="A5" s="144"/>
      <c r="C5" s="145"/>
    </row>
    <row r="6" spans="1:13" x14ac:dyDescent="0.25">
      <c r="B6" s="146"/>
      <c r="D6" s="46" t="s">
        <v>2</v>
      </c>
      <c r="E6" s="46" t="s">
        <v>3</v>
      </c>
      <c r="F6" s="46" t="s">
        <v>4</v>
      </c>
      <c r="G6" s="46" t="s">
        <v>100</v>
      </c>
      <c r="H6" s="46" t="s">
        <v>99</v>
      </c>
      <c r="I6" s="46" t="s">
        <v>115</v>
      </c>
      <c r="J6" s="46" t="s">
        <v>116</v>
      </c>
      <c r="K6" s="46" t="s">
        <v>145</v>
      </c>
      <c r="M6" s="189" t="s">
        <v>555</v>
      </c>
    </row>
    <row r="7" spans="1:13" x14ac:dyDescent="0.25">
      <c r="D7" s="608" t="s">
        <v>473</v>
      </c>
      <c r="E7" s="608"/>
      <c r="F7" s="608"/>
      <c r="G7" s="608"/>
      <c r="H7" s="609" t="s">
        <v>474</v>
      </c>
      <c r="I7" s="610"/>
      <c r="J7" s="610"/>
      <c r="K7" s="611"/>
    </row>
    <row r="8" spans="1:13" ht="30" x14ac:dyDescent="0.25">
      <c r="B8" s="14" t="s">
        <v>475</v>
      </c>
      <c r="C8" s="125" t="s">
        <v>476</v>
      </c>
      <c r="D8" s="34">
        <v>44926</v>
      </c>
      <c r="E8" s="34">
        <v>44834</v>
      </c>
      <c r="F8" s="34">
        <v>44742</v>
      </c>
      <c r="G8" s="34">
        <v>44651</v>
      </c>
      <c r="H8" s="34">
        <v>44926</v>
      </c>
      <c r="I8" s="34">
        <v>44834</v>
      </c>
      <c r="J8" s="34">
        <v>44742</v>
      </c>
      <c r="K8" s="34">
        <v>44651</v>
      </c>
    </row>
    <row r="9" spans="1:13" ht="45" x14ac:dyDescent="0.25">
      <c r="B9" s="178" t="s">
        <v>477</v>
      </c>
      <c r="C9" s="179" t="s">
        <v>478</v>
      </c>
      <c r="D9" s="180"/>
      <c r="E9" s="180"/>
      <c r="F9" s="180"/>
      <c r="G9" s="180"/>
      <c r="H9" s="180"/>
      <c r="I9" s="180"/>
      <c r="J9" s="180"/>
      <c r="K9" s="180"/>
    </row>
    <row r="10" spans="1:13" ht="15" customHeight="1" x14ac:dyDescent="0.25">
      <c r="B10" s="612" t="s">
        <v>479</v>
      </c>
      <c r="C10" s="613"/>
      <c r="D10" s="613"/>
      <c r="E10" s="613"/>
      <c r="F10" s="613"/>
      <c r="G10" s="613"/>
      <c r="H10" s="613"/>
      <c r="I10" s="613"/>
      <c r="J10" s="613"/>
      <c r="K10" s="614"/>
    </row>
    <row r="11" spans="1:13" ht="30" x14ac:dyDescent="0.25">
      <c r="B11" s="186">
        <v>1</v>
      </c>
      <c r="C11" s="179" t="s">
        <v>480</v>
      </c>
      <c r="D11" s="606"/>
      <c r="E11" s="606"/>
      <c r="F11" s="606"/>
      <c r="G11" s="606"/>
      <c r="H11" s="694">
        <v>2192561</v>
      </c>
      <c r="I11" s="694">
        <v>2027423</v>
      </c>
      <c r="J11" s="694">
        <v>1885266</v>
      </c>
      <c r="K11" s="694">
        <v>1721298</v>
      </c>
    </row>
    <row r="12" spans="1:13" ht="15" customHeight="1" x14ac:dyDescent="0.25">
      <c r="B12" s="612" t="s">
        <v>481</v>
      </c>
      <c r="C12" s="613"/>
      <c r="D12" s="613"/>
      <c r="E12" s="613"/>
      <c r="F12" s="613"/>
      <c r="G12" s="613"/>
      <c r="H12" s="613"/>
      <c r="I12" s="613"/>
      <c r="J12" s="613"/>
      <c r="K12" s="614"/>
    </row>
    <row r="13" spans="1:13" ht="45" x14ac:dyDescent="0.25">
      <c r="B13" s="186">
        <v>2</v>
      </c>
      <c r="C13" s="179" t="s">
        <v>482</v>
      </c>
      <c r="D13" s="694">
        <v>3836904</v>
      </c>
      <c r="E13" s="694">
        <v>3747241</v>
      </c>
      <c r="F13" s="694">
        <v>3706506</v>
      </c>
      <c r="G13" s="694">
        <v>3571937</v>
      </c>
      <c r="H13" s="694">
        <v>235616</v>
      </c>
      <c r="I13" s="694">
        <v>235301</v>
      </c>
      <c r="J13" s="694">
        <v>229856</v>
      </c>
      <c r="K13" s="694">
        <v>217190</v>
      </c>
      <c r="M13" s="190">
        <v>30</v>
      </c>
    </row>
    <row r="14" spans="1:13" x14ac:dyDescent="0.25">
      <c r="B14" s="186">
        <v>3</v>
      </c>
      <c r="C14" s="181" t="s">
        <v>483</v>
      </c>
      <c r="D14" s="694">
        <v>3084069</v>
      </c>
      <c r="E14" s="694">
        <v>2969248</v>
      </c>
      <c r="F14" s="694">
        <v>2971148</v>
      </c>
      <c r="G14" s="694">
        <v>2914048</v>
      </c>
      <c r="H14" s="694">
        <v>154203</v>
      </c>
      <c r="I14" s="694">
        <v>148462</v>
      </c>
      <c r="J14" s="694">
        <v>148557</v>
      </c>
      <c r="K14" s="694">
        <v>145702</v>
      </c>
      <c r="M14" s="190">
        <v>80</v>
      </c>
    </row>
    <row r="15" spans="1:13" x14ac:dyDescent="0.25">
      <c r="B15" s="186">
        <v>4</v>
      </c>
      <c r="C15" s="181" t="s">
        <v>484</v>
      </c>
      <c r="D15" s="694">
        <v>173694</v>
      </c>
      <c r="E15" s="694">
        <v>218211</v>
      </c>
      <c r="F15" s="694">
        <v>192491</v>
      </c>
      <c r="G15" s="694">
        <v>150235</v>
      </c>
      <c r="H15" s="694">
        <v>26054</v>
      </c>
      <c r="I15" s="694">
        <v>32732</v>
      </c>
      <c r="J15" s="694">
        <v>28874</v>
      </c>
      <c r="K15" s="694">
        <v>22574</v>
      </c>
      <c r="M15" s="190">
        <v>50</v>
      </c>
    </row>
    <row r="16" spans="1:13" x14ac:dyDescent="0.25">
      <c r="B16" s="186">
        <v>5</v>
      </c>
      <c r="C16" s="179" t="s">
        <v>485</v>
      </c>
      <c r="D16" s="695"/>
      <c r="E16" s="695"/>
      <c r="F16" s="695"/>
      <c r="G16" s="695"/>
      <c r="H16" s="695"/>
      <c r="I16" s="695"/>
      <c r="J16" s="695"/>
      <c r="K16" s="695"/>
      <c r="M16" s="191">
        <v>110</v>
      </c>
    </row>
    <row r="17" spans="2:21" ht="60" x14ac:dyDescent="0.25">
      <c r="B17" s="186">
        <v>6</v>
      </c>
      <c r="C17" s="181" t="s">
        <v>486</v>
      </c>
      <c r="D17" s="694"/>
      <c r="E17" s="694"/>
      <c r="F17" s="694"/>
      <c r="G17" s="694"/>
      <c r="H17" s="694"/>
      <c r="I17" s="694"/>
      <c r="J17" s="694"/>
      <c r="K17" s="694"/>
    </row>
    <row r="18" spans="2:21" ht="30" x14ac:dyDescent="0.25">
      <c r="B18" s="186">
        <v>7</v>
      </c>
      <c r="C18" s="181" t="s">
        <v>487</v>
      </c>
      <c r="D18" s="694">
        <v>395972</v>
      </c>
      <c r="E18" s="694">
        <v>397710</v>
      </c>
      <c r="F18" s="694">
        <v>308474</v>
      </c>
      <c r="G18" s="694">
        <v>269944</v>
      </c>
      <c r="H18" s="694">
        <v>206593</v>
      </c>
      <c r="I18" s="694">
        <v>205406</v>
      </c>
      <c r="J18" s="694">
        <v>184862</v>
      </c>
      <c r="K18" s="694">
        <v>179939</v>
      </c>
      <c r="M18" s="190">
        <v>210</v>
      </c>
    </row>
    <row r="19" spans="2:21" x14ac:dyDescent="0.25">
      <c r="B19" s="186">
        <v>8</v>
      </c>
      <c r="C19" s="181" t="s">
        <v>488</v>
      </c>
      <c r="D19" s="694"/>
      <c r="E19" s="694"/>
      <c r="F19" s="694"/>
      <c r="G19" s="694"/>
      <c r="H19" s="694"/>
      <c r="I19" s="694"/>
      <c r="J19" s="694"/>
      <c r="K19" s="694"/>
    </row>
    <row r="20" spans="2:21" x14ac:dyDescent="0.25">
      <c r="B20" s="186">
        <v>9</v>
      </c>
      <c r="C20" s="181" t="s">
        <v>489</v>
      </c>
      <c r="D20" s="696"/>
      <c r="E20" s="696"/>
      <c r="F20" s="696"/>
      <c r="G20" s="696"/>
      <c r="H20" s="697"/>
      <c r="I20" s="697"/>
      <c r="J20" s="697"/>
      <c r="K20" s="697"/>
    </row>
    <row r="21" spans="2:21" x14ac:dyDescent="0.25">
      <c r="B21" s="186">
        <v>10</v>
      </c>
      <c r="C21" s="179" t="s">
        <v>490</v>
      </c>
      <c r="D21" s="694"/>
      <c r="E21" s="694"/>
      <c r="F21" s="694"/>
      <c r="G21" s="694"/>
      <c r="H21" s="694"/>
      <c r="I21" s="694"/>
      <c r="J21" s="694"/>
      <c r="K21" s="694"/>
    </row>
    <row r="22" spans="2:21" ht="75" x14ac:dyDescent="0.25">
      <c r="B22" s="186">
        <v>11</v>
      </c>
      <c r="C22" s="181" t="s">
        <v>491</v>
      </c>
      <c r="D22" s="694">
        <v>0</v>
      </c>
      <c r="E22" s="694">
        <v>0</v>
      </c>
      <c r="F22" s="694">
        <v>0</v>
      </c>
      <c r="G22" s="694">
        <v>0</v>
      </c>
      <c r="H22" s="694">
        <v>0</v>
      </c>
      <c r="I22" s="694">
        <v>0</v>
      </c>
      <c r="J22" s="694">
        <v>0</v>
      </c>
      <c r="K22" s="694">
        <v>0</v>
      </c>
      <c r="M22">
        <v>270</v>
      </c>
    </row>
    <row r="23" spans="2:21" ht="60" x14ac:dyDescent="0.25">
      <c r="B23" s="186">
        <v>12</v>
      </c>
      <c r="C23" s="181" t="s">
        <v>492</v>
      </c>
      <c r="D23" s="694"/>
      <c r="E23" s="694"/>
      <c r="F23" s="694"/>
      <c r="G23" s="694"/>
      <c r="H23" s="694"/>
      <c r="I23" s="694"/>
      <c r="J23" s="694"/>
      <c r="K23" s="694"/>
    </row>
    <row r="24" spans="2:21" ht="30" x14ac:dyDescent="0.25">
      <c r="B24" s="186">
        <v>13</v>
      </c>
      <c r="C24" s="181" t="s">
        <v>493</v>
      </c>
      <c r="D24" s="694">
        <f>16353+832161</f>
        <v>848514</v>
      </c>
      <c r="E24" s="694">
        <f>18527+1011946</f>
        <v>1030473</v>
      </c>
      <c r="F24" s="694">
        <f>20736+1149112</f>
        <v>1169848</v>
      </c>
      <c r="G24" s="694">
        <f>18955+1197128</f>
        <v>1216083</v>
      </c>
      <c r="H24" s="694">
        <f>924+41608</f>
        <v>42532</v>
      </c>
      <c r="I24" s="694">
        <f>1010+50597</f>
        <v>51607</v>
      </c>
      <c r="J24" s="694">
        <f>1131+57456-1</f>
        <v>58586</v>
      </c>
      <c r="K24" s="694">
        <f>1058+59856</f>
        <v>60914</v>
      </c>
      <c r="M24" s="190">
        <v>460</v>
      </c>
    </row>
    <row r="25" spans="2:21" ht="30" x14ac:dyDescent="0.25">
      <c r="B25" s="186">
        <v>14</v>
      </c>
      <c r="C25" s="179" t="s">
        <v>494</v>
      </c>
      <c r="D25" s="694">
        <v>4819</v>
      </c>
      <c r="E25" s="694">
        <v>8472</v>
      </c>
      <c r="F25" s="694">
        <v>26940</v>
      </c>
      <c r="G25" s="694">
        <v>11639</v>
      </c>
      <c r="H25" s="694">
        <f>4819+1</f>
        <v>4820</v>
      </c>
      <c r="I25" s="694">
        <f>8471+1</f>
        <v>8472</v>
      </c>
      <c r="J25" s="694">
        <v>26940</v>
      </c>
      <c r="K25" s="694">
        <v>11639</v>
      </c>
      <c r="M25" s="190">
        <v>885</v>
      </c>
    </row>
    <row r="26" spans="2:21" ht="45" x14ac:dyDescent="0.25">
      <c r="B26" s="186">
        <v>15</v>
      </c>
      <c r="C26" s="179" t="s">
        <v>495</v>
      </c>
      <c r="D26" s="694">
        <v>0</v>
      </c>
      <c r="E26" s="694">
        <v>0</v>
      </c>
      <c r="F26" s="694">
        <v>0</v>
      </c>
      <c r="G26" s="694">
        <v>0</v>
      </c>
      <c r="H26" s="694">
        <v>0</v>
      </c>
      <c r="I26" s="694">
        <v>0</v>
      </c>
      <c r="J26" s="694">
        <v>0</v>
      </c>
      <c r="K26" s="694">
        <v>0</v>
      </c>
      <c r="M26">
        <v>720</v>
      </c>
    </row>
    <row r="27" spans="2:21" ht="30" x14ac:dyDescent="0.25">
      <c r="B27" s="186">
        <v>16</v>
      </c>
      <c r="C27" s="179" t="s">
        <v>496</v>
      </c>
      <c r="D27" s="698"/>
      <c r="E27" s="698"/>
      <c r="F27" s="698"/>
      <c r="G27" s="698"/>
      <c r="H27" s="694">
        <v>489561</v>
      </c>
      <c r="I27" s="694">
        <v>500786</v>
      </c>
      <c r="J27" s="694">
        <v>500244</v>
      </c>
      <c r="K27" s="694">
        <v>469682</v>
      </c>
      <c r="R27" s="69"/>
      <c r="S27" s="69"/>
      <c r="T27" s="69"/>
      <c r="U27" s="69"/>
    </row>
    <row r="28" spans="2:21" x14ac:dyDescent="0.25">
      <c r="B28" s="607" t="s">
        <v>497</v>
      </c>
      <c r="C28" s="607"/>
      <c r="D28" s="607"/>
      <c r="E28" s="607"/>
      <c r="F28" s="607"/>
      <c r="G28" s="607"/>
      <c r="H28" s="607"/>
      <c r="I28" s="607"/>
      <c r="J28" s="607"/>
      <c r="K28" s="607"/>
    </row>
    <row r="29" spans="2:21" ht="30" x14ac:dyDescent="0.25">
      <c r="B29" s="186">
        <v>17</v>
      </c>
      <c r="C29" s="179" t="s">
        <v>498</v>
      </c>
      <c r="D29" s="180"/>
      <c r="E29" s="180"/>
      <c r="F29" s="180"/>
      <c r="G29" s="180"/>
      <c r="H29" s="180"/>
      <c r="I29" s="180"/>
      <c r="J29" s="180"/>
      <c r="K29" s="180"/>
    </row>
    <row r="30" spans="2:21" ht="45" x14ac:dyDescent="0.25">
      <c r="B30" s="186">
        <v>18</v>
      </c>
      <c r="C30" s="179" t="s">
        <v>499</v>
      </c>
      <c r="D30" s="695">
        <v>57080</v>
      </c>
      <c r="E30" s="695">
        <v>85810</v>
      </c>
      <c r="F30" s="695">
        <v>100527</v>
      </c>
      <c r="G30" s="695">
        <v>78677</v>
      </c>
      <c r="H30" s="695">
        <v>54008</v>
      </c>
      <c r="I30" s="695">
        <v>82351</v>
      </c>
      <c r="J30" s="695">
        <v>97100</v>
      </c>
      <c r="K30" s="695">
        <v>73390</v>
      </c>
      <c r="L30" s="17" t="s">
        <v>554</v>
      </c>
    </row>
    <row r="31" spans="2:21" ht="30" x14ac:dyDescent="0.25">
      <c r="B31" s="186">
        <v>19</v>
      </c>
      <c r="C31" s="179" t="s">
        <v>500</v>
      </c>
      <c r="D31" s="694"/>
      <c r="E31" s="694"/>
      <c r="F31" s="694"/>
      <c r="G31" s="694"/>
      <c r="H31" s="694"/>
      <c r="I31" s="694"/>
      <c r="J31" s="694"/>
      <c r="K31" s="694"/>
    </row>
    <row r="32" spans="2:21" x14ac:dyDescent="0.25">
      <c r="B32" s="603" t="s">
        <v>501</v>
      </c>
      <c r="C32" s="605" t="s">
        <v>502</v>
      </c>
      <c r="D32" s="698"/>
      <c r="E32" s="698"/>
      <c r="F32" s="698"/>
      <c r="G32" s="698"/>
      <c r="H32" s="699"/>
      <c r="I32" s="699"/>
      <c r="J32" s="699"/>
      <c r="K32" s="699"/>
    </row>
    <row r="33" spans="2:11" x14ac:dyDescent="0.25">
      <c r="B33" s="603"/>
      <c r="C33" s="605"/>
      <c r="D33" s="698"/>
      <c r="E33" s="698"/>
      <c r="F33" s="698"/>
      <c r="G33" s="698"/>
      <c r="H33" s="699"/>
      <c r="I33" s="699"/>
      <c r="J33" s="699"/>
      <c r="K33" s="699"/>
    </row>
    <row r="34" spans="2:11" x14ac:dyDescent="0.25">
      <c r="B34" s="603" t="s">
        <v>503</v>
      </c>
      <c r="C34" s="605" t="s">
        <v>504</v>
      </c>
      <c r="D34" s="698"/>
      <c r="E34" s="698"/>
      <c r="F34" s="698"/>
      <c r="G34" s="698"/>
      <c r="H34" s="699"/>
      <c r="I34" s="699"/>
      <c r="J34" s="699"/>
      <c r="K34" s="699"/>
    </row>
    <row r="35" spans="2:11" x14ac:dyDescent="0.25">
      <c r="B35" s="603"/>
      <c r="C35" s="605"/>
      <c r="D35" s="698"/>
      <c r="E35" s="698"/>
      <c r="F35" s="698"/>
      <c r="G35" s="698"/>
      <c r="H35" s="699"/>
      <c r="I35" s="699"/>
      <c r="J35" s="699"/>
      <c r="K35" s="699"/>
    </row>
    <row r="36" spans="2:11" ht="30" x14ac:dyDescent="0.25">
      <c r="B36" s="186">
        <v>20</v>
      </c>
      <c r="C36" s="179" t="s">
        <v>505</v>
      </c>
      <c r="D36" s="694">
        <f>+D30</f>
        <v>57080</v>
      </c>
      <c r="E36" s="694">
        <f t="shared" ref="E36:G36" si="0">+E30</f>
        <v>85810</v>
      </c>
      <c r="F36" s="694">
        <f t="shared" si="0"/>
        <v>100527</v>
      </c>
      <c r="G36" s="694">
        <f t="shared" si="0"/>
        <v>78677</v>
      </c>
      <c r="H36" s="694">
        <f>+H30</f>
        <v>54008</v>
      </c>
      <c r="I36" s="694">
        <f t="shared" ref="I36:K36" si="1">+I30</f>
        <v>82351</v>
      </c>
      <c r="J36" s="694">
        <f t="shared" si="1"/>
        <v>97100</v>
      </c>
      <c r="K36" s="694">
        <f t="shared" si="1"/>
        <v>73390</v>
      </c>
    </row>
    <row r="37" spans="2:11" x14ac:dyDescent="0.25">
      <c r="B37" s="603" t="s">
        <v>213</v>
      </c>
      <c r="C37" s="604" t="s">
        <v>506</v>
      </c>
      <c r="D37" s="699">
        <v>0</v>
      </c>
      <c r="E37" s="699">
        <v>0</v>
      </c>
      <c r="F37" s="699">
        <v>0</v>
      </c>
      <c r="G37" s="699">
        <v>0</v>
      </c>
      <c r="H37" s="699">
        <v>0</v>
      </c>
      <c r="I37" s="699">
        <v>0</v>
      </c>
      <c r="J37" s="699">
        <v>0</v>
      </c>
      <c r="K37" s="699">
        <v>0</v>
      </c>
    </row>
    <row r="38" spans="2:11" x14ac:dyDescent="0.25">
      <c r="B38" s="603"/>
      <c r="C38" s="604"/>
      <c r="D38" s="699"/>
      <c r="E38" s="699"/>
      <c r="F38" s="699"/>
      <c r="G38" s="699"/>
      <c r="H38" s="699"/>
      <c r="I38" s="699"/>
      <c r="J38" s="699"/>
      <c r="K38" s="699"/>
    </row>
    <row r="39" spans="2:11" x14ac:dyDescent="0.25">
      <c r="B39" s="603" t="s">
        <v>215</v>
      </c>
      <c r="C39" s="604" t="s">
        <v>507</v>
      </c>
      <c r="D39" s="699">
        <v>0</v>
      </c>
      <c r="E39" s="699">
        <v>0</v>
      </c>
      <c r="F39" s="699">
        <v>0</v>
      </c>
      <c r="G39" s="699">
        <v>0</v>
      </c>
      <c r="H39" s="699">
        <v>0</v>
      </c>
      <c r="I39" s="699">
        <v>0</v>
      </c>
      <c r="J39" s="699">
        <v>0</v>
      </c>
      <c r="K39" s="699">
        <v>0</v>
      </c>
    </row>
    <row r="40" spans="2:11" x14ac:dyDescent="0.25">
      <c r="B40" s="603"/>
      <c r="C40" s="604"/>
      <c r="D40" s="699"/>
      <c r="E40" s="699"/>
      <c r="F40" s="699"/>
      <c r="G40" s="699"/>
      <c r="H40" s="699"/>
      <c r="I40" s="699"/>
      <c r="J40" s="699"/>
      <c r="K40" s="699"/>
    </row>
    <row r="41" spans="2:11" x14ac:dyDescent="0.25">
      <c r="B41" s="603" t="s">
        <v>217</v>
      </c>
      <c r="C41" s="604" t="s">
        <v>508</v>
      </c>
      <c r="D41" s="699">
        <f>+D30</f>
        <v>57080</v>
      </c>
      <c r="E41" s="699">
        <f t="shared" ref="E41:K41" si="2">+E30</f>
        <v>85810</v>
      </c>
      <c r="F41" s="699">
        <f t="shared" si="2"/>
        <v>100527</v>
      </c>
      <c r="G41" s="699">
        <f t="shared" si="2"/>
        <v>78677</v>
      </c>
      <c r="H41" s="699">
        <f t="shared" si="2"/>
        <v>54008</v>
      </c>
      <c r="I41" s="699">
        <f t="shared" si="2"/>
        <v>82351</v>
      </c>
      <c r="J41" s="699">
        <f t="shared" si="2"/>
        <v>97100</v>
      </c>
      <c r="K41" s="699">
        <f t="shared" si="2"/>
        <v>73390</v>
      </c>
    </row>
    <row r="42" spans="2:11" x14ac:dyDescent="0.25">
      <c r="B42" s="603"/>
      <c r="C42" s="604"/>
      <c r="D42" s="699"/>
      <c r="E42" s="699"/>
      <c r="F42" s="699"/>
      <c r="G42" s="699"/>
      <c r="H42" s="699"/>
      <c r="I42" s="699"/>
      <c r="J42" s="699"/>
      <c r="K42" s="699"/>
    </row>
    <row r="43" spans="2:11" x14ac:dyDescent="0.25">
      <c r="B43" s="599" t="s">
        <v>509</v>
      </c>
      <c r="C43" s="600"/>
      <c r="D43" s="600"/>
      <c r="E43" s="600"/>
      <c r="F43" s="600"/>
      <c r="G43" s="600"/>
      <c r="H43" s="600"/>
      <c r="I43" s="600"/>
      <c r="J43" s="600"/>
      <c r="K43" s="601"/>
    </row>
    <row r="44" spans="2:11" x14ac:dyDescent="0.25">
      <c r="B44" s="182" t="s">
        <v>510</v>
      </c>
      <c r="C44" s="183" t="s">
        <v>511</v>
      </c>
      <c r="D44" s="602"/>
      <c r="E44" s="602"/>
      <c r="F44" s="602"/>
      <c r="G44" s="602"/>
      <c r="H44" s="184">
        <f>+H11</f>
        <v>2192561</v>
      </c>
      <c r="I44" s="184">
        <f t="shared" ref="I44:K44" si="3">+I11</f>
        <v>2027423</v>
      </c>
      <c r="J44" s="184">
        <f t="shared" si="3"/>
        <v>1885266</v>
      </c>
      <c r="K44" s="184">
        <f t="shared" si="3"/>
        <v>1721298</v>
      </c>
    </row>
    <row r="45" spans="2:11" x14ac:dyDescent="0.25">
      <c r="B45" s="187">
        <v>22</v>
      </c>
      <c r="C45" s="183" t="s">
        <v>512</v>
      </c>
      <c r="D45" s="602"/>
      <c r="E45" s="602"/>
      <c r="F45" s="602"/>
      <c r="G45" s="602"/>
      <c r="H45" s="184">
        <f>+H27-H30</f>
        <v>435553</v>
      </c>
      <c r="I45" s="184">
        <f t="shared" ref="I45:K45" si="4">+I27-I30</f>
        <v>418435</v>
      </c>
      <c r="J45" s="184">
        <f>+J27-J30</f>
        <v>403144</v>
      </c>
      <c r="K45" s="184">
        <f t="shared" si="4"/>
        <v>396292</v>
      </c>
    </row>
    <row r="46" spans="2:11" x14ac:dyDescent="0.25">
      <c r="B46" s="187">
        <v>23</v>
      </c>
      <c r="C46" s="183" t="s">
        <v>513</v>
      </c>
      <c r="D46" s="602"/>
      <c r="E46" s="602"/>
      <c r="F46" s="602"/>
      <c r="G46" s="602"/>
      <c r="H46" s="185">
        <f>+H44/H45</f>
        <v>5.0339706074806054</v>
      </c>
      <c r="I46" s="185">
        <f t="shared" ref="I46:K46" si="5">+I44/I45</f>
        <v>4.8452519507211393</v>
      </c>
      <c r="J46" s="185">
        <f t="shared" si="5"/>
        <v>4.6764084297422261</v>
      </c>
      <c r="K46" s="185">
        <f t="shared" si="5"/>
        <v>4.3435093315030331</v>
      </c>
    </row>
    <row r="47" spans="2:11" x14ac:dyDescent="0.25">
      <c r="B47" s="69"/>
    </row>
    <row r="48" spans="2:11" x14ac:dyDescent="0.25">
      <c r="B48" s="85"/>
    </row>
    <row r="49" spans="8:11" x14ac:dyDescent="0.25">
      <c r="H49" s="502"/>
      <c r="I49" s="502"/>
      <c r="J49" s="502"/>
      <c r="K49" s="502"/>
    </row>
  </sheetData>
  <sheetProtection algorithmName="SHA-512" hashValue="rxlhdEloiclak7yivC5kTfJ3vTd6G202D7JVtHoE5kmaUjiNlQQWNAmxvnC4wk5dNRqiqy965sUwi0ri9aSPqg==" saltValue="NrdJdnM+bEdp3p+9VLs0Gg==" spinCount="100000" sheet="1" objects="1" scenarios="1"/>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scale="60" fitToHeight="0" orientation="portrait" r:id="rId1"/>
  <headerFooter>
    <oddHeader>&amp;CDA
Bilag XIII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C91-D0E5-4F4D-A41B-70EDC4794BCD}">
  <sheetPr>
    <tabColor theme="0" tint="-0.14999847407452621"/>
    <pageSetUpPr fitToPage="1"/>
  </sheetPr>
  <dimension ref="B2:I44"/>
  <sheetViews>
    <sheetView workbookViewId="0"/>
  </sheetViews>
  <sheetFormatPr defaultColWidth="9.140625" defaultRowHeight="15" x14ac:dyDescent="0.25"/>
  <cols>
    <col min="1" max="1" width="3.7109375" customWidth="1"/>
    <col min="3" max="3" width="39.28515625" customWidth="1"/>
    <col min="4" max="4" width="13.85546875" customWidth="1"/>
    <col min="5" max="5" width="16" customWidth="1"/>
    <col min="6" max="6" width="18.28515625" customWidth="1"/>
    <col min="7" max="7" width="12.5703125" customWidth="1"/>
    <col min="8" max="8" width="17.85546875" customWidth="1"/>
    <col min="9" max="9" width="16.85546875" customWidth="1"/>
    <col min="10" max="10" width="18.5703125" customWidth="1"/>
  </cols>
  <sheetData>
    <row r="2" spans="2:9" ht="16.5" x14ac:dyDescent="0.25">
      <c r="B2" s="147" t="s">
        <v>472</v>
      </c>
    </row>
    <row r="3" spans="2:9" ht="15.75" x14ac:dyDescent="0.25">
      <c r="B3" s="143" t="s">
        <v>514</v>
      </c>
    </row>
    <row r="4" spans="2:9" s="65" customFormat="1" ht="15.75" thickBot="1" x14ac:dyDescent="0.3"/>
    <row r="5" spans="2:9" ht="15.75" thickBot="1" x14ac:dyDescent="0.3">
      <c r="B5" s="618"/>
      <c r="C5" s="619"/>
      <c r="D5" s="148" t="s">
        <v>2</v>
      </c>
      <c r="E5" s="148" t="s">
        <v>3</v>
      </c>
      <c r="F5" s="149" t="s">
        <v>4</v>
      </c>
      <c r="G5" s="150" t="s">
        <v>100</v>
      </c>
      <c r="H5" s="151" t="s">
        <v>99</v>
      </c>
    </row>
    <row r="6" spans="2:9" ht="15.75" customHeight="1" thickBot="1" x14ac:dyDescent="0.3">
      <c r="B6" s="620" t="s">
        <v>515</v>
      </c>
      <c r="C6" s="621"/>
      <c r="D6" s="624" t="s">
        <v>516</v>
      </c>
      <c r="E6" s="625"/>
      <c r="F6" s="625"/>
      <c r="G6" s="626"/>
      <c r="H6" s="627" t="s">
        <v>517</v>
      </c>
    </row>
    <row r="7" spans="2:9" ht="15" customHeight="1" thickBot="1" x14ac:dyDescent="0.3">
      <c r="B7" s="622"/>
      <c r="C7" s="623"/>
      <c r="D7" s="152" t="s">
        <v>518</v>
      </c>
      <c r="E7" s="152" t="s">
        <v>519</v>
      </c>
      <c r="F7" s="152" t="s">
        <v>520</v>
      </c>
      <c r="G7" s="153" t="s">
        <v>521</v>
      </c>
      <c r="H7" s="628"/>
    </row>
    <row r="8" spans="2:9" ht="15.75" thickBot="1" x14ac:dyDescent="0.3">
      <c r="B8" s="154" t="s">
        <v>522</v>
      </c>
      <c r="C8" s="155"/>
      <c r="D8" s="155"/>
      <c r="E8" s="156"/>
      <c r="F8" s="155"/>
      <c r="G8" s="155"/>
      <c r="H8" s="157"/>
    </row>
    <row r="9" spans="2:9" ht="15.75" thickBot="1" x14ac:dyDescent="0.3">
      <c r="B9" s="468">
        <v>1</v>
      </c>
      <c r="C9" s="469" t="s">
        <v>523</v>
      </c>
      <c r="D9" s="470">
        <f>+D10+D11</f>
        <v>603317</v>
      </c>
      <c r="E9" s="470">
        <f>+E10+E11</f>
        <v>20000</v>
      </c>
      <c r="F9" s="470">
        <f>+F10+F11</f>
        <v>0</v>
      </c>
      <c r="G9" s="470">
        <f>+G10+G11</f>
        <v>110742</v>
      </c>
      <c r="H9" s="471">
        <f>+H10+H11</f>
        <v>714059</v>
      </c>
    </row>
    <row r="10" spans="2:9" ht="15.75" thickBot="1" x14ac:dyDescent="0.3">
      <c r="B10" s="161">
        <v>2</v>
      </c>
      <c r="C10" s="162" t="s">
        <v>103</v>
      </c>
      <c r="D10" s="194">
        <f>553317+50000</f>
        <v>603317</v>
      </c>
      <c r="E10" s="194"/>
      <c r="F10" s="195"/>
      <c r="G10" s="196">
        <v>85132</v>
      </c>
      <c r="H10" s="196">
        <f>553317+85132+50000</f>
        <v>688449</v>
      </c>
      <c r="I10" s="17"/>
    </row>
    <row r="11" spans="2:9" ht="15.75" thickBot="1" x14ac:dyDescent="0.3">
      <c r="B11" s="161">
        <v>3</v>
      </c>
      <c r="C11" s="162" t="s">
        <v>524</v>
      </c>
      <c r="D11" s="198"/>
      <c r="E11" s="194">
        <v>20000</v>
      </c>
      <c r="F11" s="195"/>
      <c r="G11" s="196">
        <v>25610</v>
      </c>
      <c r="H11" s="196">
        <v>25610</v>
      </c>
    </row>
    <row r="12" spans="2:9" ht="15.75" thickBot="1" x14ac:dyDescent="0.3">
      <c r="B12" s="163">
        <v>4</v>
      </c>
      <c r="C12" s="158" t="s">
        <v>525</v>
      </c>
      <c r="D12" s="198"/>
      <c r="E12" s="192">
        <v>3058380</v>
      </c>
      <c r="F12" s="193"/>
      <c r="G12" s="199">
        <v>25555</v>
      </c>
      <c r="H12" s="199">
        <v>2889320</v>
      </c>
    </row>
    <row r="13" spans="2:9" ht="15.75" thickBot="1" x14ac:dyDescent="0.3">
      <c r="B13" s="161">
        <v>5</v>
      </c>
      <c r="C13" s="162" t="s">
        <v>483</v>
      </c>
      <c r="D13" s="198"/>
      <c r="E13" s="200">
        <v>2224444</v>
      </c>
      <c r="F13" s="201"/>
      <c r="G13" s="196">
        <v>7665</v>
      </c>
      <c r="H13" s="196">
        <v>2121</v>
      </c>
    </row>
    <row r="14" spans="2:9" ht="15.75" thickBot="1" x14ac:dyDescent="0.3">
      <c r="B14" s="161">
        <v>6</v>
      </c>
      <c r="C14" s="162" t="s">
        <v>484</v>
      </c>
      <c r="D14" s="198"/>
      <c r="E14" s="200">
        <v>833936</v>
      </c>
      <c r="F14" s="201"/>
      <c r="G14" s="196">
        <v>17891</v>
      </c>
      <c r="H14" s="196">
        <v>768433</v>
      </c>
    </row>
    <row r="15" spans="2:9" ht="15.75" thickBot="1" x14ac:dyDescent="0.3">
      <c r="B15" s="163">
        <v>7</v>
      </c>
      <c r="C15" s="158" t="s">
        <v>526</v>
      </c>
      <c r="D15" s="198"/>
      <c r="E15" s="192">
        <v>292311</v>
      </c>
      <c r="F15" s="192">
        <f>SUM(F16:F17)</f>
        <v>0</v>
      </c>
      <c r="G15" s="192">
        <f>SUM(G16:G17)</f>
        <v>0</v>
      </c>
      <c r="H15" s="193">
        <v>146156</v>
      </c>
    </row>
    <row r="16" spans="2:9" ht="15.75" thickBot="1" x14ac:dyDescent="0.3">
      <c r="B16" s="161">
        <v>8</v>
      </c>
      <c r="C16" s="162" t="s">
        <v>527</v>
      </c>
      <c r="D16" s="198"/>
      <c r="E16" s="202">
        <v>0</v>
      </c>
      <c r="F16" s="201">
        <v>0</v>
      </c>
      <c r="G16" s="196">
        <v>0</v>
      </c>
      <c r="H16" s="196">
        <v>0</v>
      </c>
    </row>
    <row r="17" spans="2:8" ht="15.75" thickBot="1" x14ac:dyDescent="0.3">
      <c r="B17" s="161">
        <v>9</v>
      </c>
      <c r="C17" s="164" t="s">
        <v>528</v>
      </c>
      <c r="D17" s="198"/>
      <c r="E17" s="200">
        <v>292311</v>
      </c>
      <c r="F17" s="201">
        <v>0</v>
      </c>
      <c r="G17" s="196"/>
      <c r="H17" s="196">
        <v>146156</v>
      </c>
    </row>
    <row r="18" spans="2:8" ht="15.75" thickBot="1" x14ac:dyDescent="0.3">
      <c r="B18" s="163">
        <v>10</v>
      </c>
      <c r="C18" s="158" t="s">
        <v>529</v>
      </c>
      <c r="D18" s="198"/>
      <c r="E18" s="192"/>
      <c r="F18" s="193"/>
      <c r="G18" s="199"/>
      <c r="H18" s="199"/>
    </row>
    <row r="19" spans="2:8" ht="15.75" thickBot="1" x14ac:dyDescent="0.3">
      <c r="B19" s="163">
        <v>11</v>
      </c>
      <c r="C19" s="158" t="s">
        <v>530</v>
      </c>
      <c r="D19" s="192"/>
      <c r="E19" s="192">
        <v>45682</v>
      </c>
      <c r="F19" s="192">
        <f>+F21</f>
        <v>0</v>
      </c>
      <c r="G19" s="192">
        <v>198090</v>
      </c>
      <c r="H19" s="193">
        <v>198090</v>
      </c>
    </row>
    <row r="20" spans="2:8" ht="15.75" thickBot="1" x14ac:dyDescent="0.3">
      <c r="B20" s="161">
        <v>12</v>
      </c>
      <c r="C20" s="162" t="s">
        <v>531</v>
      </c>
      <c r="D20" s="200"/>
      <c r="E20" s="198"/>
      <c r="F20" s="203"/>
      <c r="G20" s="204"/>
      <c r="H20" s="472"/>
    </row>
    <row r="21" spans="2:8" ht="45.75" thickBot="1" x14ac:dyDescent="0.3">
      <c r="B21" s="161">
        <v>13</v>
      </c>
      <c r="C21" s="162" t="s">
        <v>532</v>
      </c>
      <c r="D21" s="198"/>
      <c r="E21" s="200">
        <v>46682</v>
      </c>
      <c r="F21" s="201"/>
      <c r="G21" s="196">
        <v>198090</v>
      </c>
      <c r="H21" s="196">
        <v>198090</v>
      </c>
    </row>
    <row r="22" spans="2:8" ht="15.75" thickBot="1" x14ac:dyDescent="0.3">
      <c r="B22" s="165">
        <v>14</v>
      </c>
      <c r="C22" s="166" t="s">
        <v>533</v>
      </c>
      <c r="D22" s="205"/>
      <c r="E22" s="205"/>
      <c r="F22" s="206"/>
      <c r="G22" s="207"/>
      <c r="H22" s="473">
        <f>+H9+H12+H15+H18+H19</f>
        <v>3947625</v>
      </c>
    </row>
    <row r="23" spans="2:8" ht="23.25" customHeight="1" thickBot="1" x14ac:dyDescent="0.3">
      <c r="B23" s="629" t="s">
        <v>534</v>
      </c>
      <c r="C23" s="630"/>
      <c r="D23" s="630"/>
      <c r="E23" s="630"/>
      <c r="F23" s="630"/>
      <c r="G23" s="630"/>
      <c r="H23" s="631"/>
    </row>
    <row r="24" spans="2:8" ht="15.75" thickBot="1" x14ac:dyDescent="0.3">
      <c r="B24" s="163">
        <v>15</v>
      </c>
      <c r="C24" s="158" t="s">
        <v>480</v>
      </c>
      <c r="D24" s="169"/>
      <c r="E24" s="215"/>
      <c r="F24" s="216"/>
      <c r="G24" s="217"/>
      <c r="H24" s="199">
        <v>91456</v>
      </c>
    </row>
    <row r="25" spans="2:8" ht="45.75" thickBot="1" x14ac:dyDescent="0.3">
      <c r="B25" s="163" t="s">
        <v>535</v>
      </c>
      <c r="C25" s="158" t="s">
        <v>536</v>
      </c>
      <c r="D25" s="170"/>
      <c r="E25" s="192"/>
      <c r="F25" s="193"/>
      <c r="G25" s="218"/>
      <c r="H25" s="199"/>
    </row>
    <row r="26" spans="2:8" ht="30.75" thickBot="1" x14ac:dyDescent="0.3">
      <c r="B26" s="163">
        <v>16</v>
      </c>
      <c r="C26" s="158" t="s">
        <v>537</v>
      </c>
      <c r="D26" s="169"/>
      <c r="E26" s="192"/>
      <c r="F26" s="193"/>
      <c r="G26" s="218"/>
      <c r="H26" s="199"/>
    </row>
    <row r="27" spans="2:8" ht="15.75" thickBot="1" x14ac:dyDescent="0.3">
      <c r="B27" s="163">
        <v>17</v>
      </c>
      <c r="C27" s="158" t="s">
        <v>538</v>
      </c>
      <c r="D27" s="169"/>
      <c r="E27" s="192">
        <f>+E28+E29+E30+E32+E34</f>
        <v>44239</v>
      </c>
      <c r="F27" s="192">
        <f>+F28+F29+F30+F32+F34</f>
        <v>26188</v>
      </c>
      <c r="G27" s="192">
        <f>+G28+G29+G30+G32+G34</f>
        <v>2071871</v>
      </c>
      <c r="H27" s="192">
        <f>+H28+H29+H30+H32+H34</f>
        <v>2072838</v>
      </c>
    </row>
    <row r="28" spans="2:8" ht="75.75" thickBot="1" x14ac:dyDescent="0.3">
      <c r="B28" s="161">
        <v>18</v>
      </c>
      <c r="C28" s="172" t="s">
        <v>539</v>
      </c>
      <c r="D28" s="169"/>
      <c r="E28" s="200"/>
      <c r="F28" s="201"/>
      <c r="G28" s="210"/>
      <c r="H28" s="197"/>
    </row>
    <row r="29" spans="2:8" ht="75.75" thickBot="1" x14ac:dyDescent="0.3">
      <c r="B29" s="161">
        <v>19</v>
      </c>
      <c r="C29" s="162" t="s">
        <v>540</v>
      </c>
      <c r="D29" s="169"/>
      <c r="E29" s="200"/>
      <c r="F29" s="201"/>
      <c r="G29" s="210"/>
      <c r="H29" s="197"/>
    </row>
    <row r="30" spans="2:8" ht="60.75" thickBot="1" x14ac:dyDescent="0.3">
      <c r="B30" s="161">
        <v>20</v>
      </c>
      <c r="C30" s="162" t="s">
        <v>541</v>
      </c>
      <c r="D30" s="169"/>
      <c r="E30" s="200">
        <v>9277</v>
      </c>
      <c r="F30" s="201">
        <v>17761</v>
      </c>
      <c r="G30" s="210">
        <v>1744750</v>
      </c>
      <c r="H30" s="197">
        <v>1758268</v>
      </c>
    </row>
    <row r="31" spans="2:8" ht="45.75" thickBot="1" x14ac:dyDescent="0.3">
      <c r="B31" s="161">
        <v>21</v>
      </c>
      <c r="C31" s="173" t="s">
        <v>542</v>
      </c>
      <c r="D31" s="169"/>
      <c r="E31" s="508">
        <v>283</v>
      </c>
      <c r="F31" s="509">
        <v>66299</v>
      </c>
      <c r="G31" s="510">
        <f>205925-283-66299</f>
        <v>139343</v>
      </c>
      <c r="H31" s="511">
        <f>SUM(E31:G31)</f>
        <v>205925</v>
      </c>
    </row>
    <row r="32" spans="2:8" ht="30.75" thickBot="1" x14ac:dyDescent="0.3">
      <c r="B32" s="161">
        <v>22</v>
      </c>
      <c r="C32" s="162" t="s">
        <v>543</v>
      </c>
      <c r="D32" s="169"/>
      <c r="E32" s="200"/>
      <c r="F32" s="201"/>
      <c r="G32" s="210"/>
      <c r="H32" s="197"/>
    </row>
    <row r="33" spans="2:8" ht="45.75" thickBot="1" x14ac:dyDescent="0.3">
      <c r="B33" s="161">
        <v>23</v>
      </c>
      <c r="C33" s="173" t="s">
        <v>542</v>
      </c>
      <c r="D33" s="169"/>
      <c r="E33" s="200"/>
      <c r="F33" s="201"/>
      <c r="G33" s="210"/>
      <c r="H33" s="197"/>
    </row>
    <row r="34" spans="2:8" ht="90.75" thickBot="1" x14ac:dyDescent="0.3">
      <c r="B34" s="161">
        <v>24</v>
      </c>
      <c r="C34" s="162" t="s">
        <v>544</v>
      </c>
      <c r="D34" s="169"/>
      <c r="E34" s="200">
        <v>34962</v>
      </c>
      <c r="F34" s="201">
        <v>8427</v>
      </c>
      <c r="G34" s="210">
        <f>135068+192053</f>
        <v>327121</v>
      </c>
      <c r="H34" s="210">
        <v>314570</v>
      </c>
    </row>
    <row r="35" spans="2:8" ht="15.75" thickBot="1" x14ac:dyDescent="0.3">
      <c r="B35" s="163">
        <v>25</v>
      </c>
      <c r="C35" s="158" t="s">
        <v>545</v>
      </c>
      <c r="D35" s="169"/>
      <c r="E35" s="159"/>
      <c r="F35" s="160"/>
      <c r="G35" s="171"/>
      <c r="H35" s="474"/>
    </row>
    <row r="36" spans="2:8" ht="15.75" thickBot="1" x14ac:dyDescent="0.3">
      <c r="B36" s="163">
        <v>26</v>
      </c>
      <c r="C36" s="158" t="s">
        <v>546</v>
      </c>
      <c r="D36" s="159"/>
      <c r="E36" s="220">
        <f>+E41</f>
        <v>0</v>
      </c>
      <c r="F36" s="220">
        <f>+F41</f>
        <v>0</v>
      </c>
      <c r="G36" s="220">
        <f>+G41</f>
        <v>77142</v>
      </c>
      <c r="H36" s="475">
        <f>+H41</f>
        <v>77142</v>
      </c>
    </row>
    <row r="37" spans="2:8" ht="15.75" thickBot="1" x14ac:dyDescent="0.3">
      <c r="B37" s="161">
        <v>27</v>
      </c>
      <c r="C37" s="162" t="s">
        <v>547</v>
      </c>
      <c r="D37" s="169"/>
      <c r="E37" s="169"/>
      <c r="F37" s="174"/>
      <c r="G37" s="149"/>
      <c r="H37" s="476"/>
    </row>
    <row r="38" spans="2:8" ht="45.75" thickBot="1" x14ac:dyDescent="0.3">
      <c r="B38" s="161">
        <v>28</v>
      </c>
      <c r="C38" s="162" t="s">
        <v>548</v>
      </c>
      <c r="D38" s="169"/>
      <c r="E38" s="615"/>
      <c r="F38" s="616"/>
      <c r="G38" s="617"/>
      <c r="H38" s="477"/>
    </row>
    <row r="39" spans="2:8" ht="15.75" thickBot="1" x14ac:dyDescent="0.3">
      <c r="B39" s="161">
        <v>29</v>
      </c>
      <c r="C39" s="162" t="s">
        <v>549</v>
      </c>
      <c r="D39" s="175"/>
      <c r="E39" s="615"/>
      <c r="F39" s="616"/>
      <c r="G39" s="617"/>
      <c r="H39" s="197"/>
    </row>
    <row r="40" spans="2:8" ht="30.75" thickBot="1" x14ac:dyDescent="0.3">
      <c r="B40" s="161">
        <v>30</v>
      </c>
      <c r="C40" s="162" t="s">
        <v>550</v>
      </c>
      <c r="D40" s="169"/>
      <c r="E40" s="615"/>
      <c r="F40" s="616"/>
      <c r="G40" s="617"/>
      <c r="H40" s="197"/>
    </row>
    <row r="41" spans="2:8" ht="30.75" thickBot="1" x14ac:dyDescent="0.3">
      <c r="B41" s="161">
        <v>31</v>
      </c>
      <c r="C41" s="162" t="s">
        <v>551</v>
      </c>
      <c r="D41" s="169"/>
      <c r="E41" s="208">
        <v>0</v>
      </c>
      <c r="F41" s="209"/>
      <c r="G41" s="210">
        <v>77142</v>
      </c>
      <c r="H41" s="197">
        <v>77142</v>
      </c>
    </row>
    <row r="42" spans="2:8" ht="15.75" thickBot="1" x14ac:dyDescent="0.3">
      <c r="B42" s="163">
        <v>32</v>
      </c>
      <c r="C42" s="158" t="s">
        <v>552</v>
      </c>
      <c r="D42" s="169"/>
      <c r="E42" s="211">
        <v>366579</v>
      </c>
      <c r="F42" s="212"/>
      <c r="G42" s="213"/>
      <c r="H42" s="214">
        <v>18329</v>
      </c>
    </row>
    <row r="43" spans="2:8" ht="15.75" thickBot="1" x14ac:dyDescent="0.3">
      <c r="B43" s="165">
        <v>33</v>
      </c>
      <c r="C43" s="166" t="s">
        <v>40</v>
      </c>
      <c r="D43" s="167"/>
      <c r="E43" s="167"/>
      <c r="F43" s="168"/>
      <c r="G43" s="176"/>
      <c r="H43" s="219">
        <f>+H42+H36+H35+H27+H24</f>
        <v>2259765</v>
      </c>
    </row>
    <row r="44" spans="2:8" ht="15.75" thickBot="1" x14ac:dyDescent="0.3">
      <c r="B44" s="165">
        <v>34</v>
      </c>
      <c r="C44" s="177" t="s">
        <v>553</v>
      </c>
      <c r="D44" s="167"/>
      <c r="E44" s="167"/>
      <c r="F44" s="168"/>
      <c r="G44" s="168"/>
      <c r="H44" s="221">
        <f>+H22/H43</f>
        <v>1.7469183742557302</v>
      </c>
    </row>
  </sheetData>
  <sheetProtection algorithmName="SHA-512" hashValue="bJWchOkzB+YEHEPdjDUwQMG5qUPS7Trpr5rgUU7ZGKYjemUzjUccSPfVXPhbHuQQ4XhCscP2JmcioU+829HIVQ==" saltValue="e0R1yIHSh7iosc5VsQq4Kg==" spinCount="100000" sheet="1" objects="1" scenarios="1"/>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scale="65" orientation="portrait" r:id="rId1"/>
  <headerFooter>
    <oddHeader>&amp;CDA
Bilag XIII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7261C-AACF-4DE7-82F0-78FAAC1F1C56}">
  <sheetPr>
    <tabColor theme="0" tint="-0.14999847407452621"/>
    <pageSetUpPr fitToPage="1"/>
  </sheetPr>
  <dimension ref="A1:Q37"/>
  <sheetViews>
    <sheetView workbookViewId="0"/>
  </sheetViews>
  <sheetFormatPr defaultRowHeight="15" x14ac:dyDescent="0.25"/>
  <cols>
    <col min="1" max="1" width="5.85546875" customWidth="1"/>
    <col min="2" max="2" width="24" bestFit="1" customWidth="1"/>
    <col min="3" max="17" width="11.7109375" customWidth="1"/>
  </cols>
  <sheetData>
    <row r="1" spans="1:17" x14ac:dyDescent="0.25">
      <c r="A1" s="225" t="s">
        <v>565</v>
      </c>
    </row>
    <row r="2" spans="1:17" ht="15.75" x14ac:dyDescent="0.25">
      <c r="A2" s="143"/>
      <c r="B2" s="226"/>
      <c r="C2" s="226"/>
      <c r="D2" s="226"/>
      <c r="E2" s="226"/>
      <c r="F2" s="226"/>
      <c r="G2" s="226"/>
      <c r="H2" s="226"/>
      <c r="I2" s="226"/>
      <c r="J2" s="226"/>
      <c r="K2" s="226"/>
      <c r="L2" s="226"/>
      <c r="M2" s="226"/>
      <c r="N2" s="226"/>
      <c r="O2" s="226"/>
      <c r="P2" s="226"/>
      <c r="Q2" s="226"/>
    </row>
    <row r="3" spans="1:17" ht="16.5" thickBot="1" x14ac:dyDescent="0.3">
      <c r="A3" s="143"/>
      <c r="B3" s="226"/>
      <c r="C3" s="226"/>
      <c r="D3" s="226"/>
      <c r="E3" s="226"/>
      <c r="F3" s="226"/>
      <c r="G3" s="226"/>
      <c r="H3" s="226"/>
      <c r="I3" s="226"/>
      <c r="J3" s="226"/>
      <c r="K3" s="226"/>
      <c r="L3" s="226"/>
      <c r="M3" s="226"/>
      <c r="N3" s="226"/>
      <c r="O3" s="226"/>
      <c r="P3" s="226"/>
      <c r="Q3" s="226"/>
    </row>
    <row r="4" spans="1:17" ht="16.5" thickBot="1" x14ac:dyDescent="0.3">
      <c r="A4" s="227"/>
      <c r="B4" s="227"/>
      <c r="C4" s="228" t="s">
        <v>2</v>
      </c>
      <c r="D4" s="229" t="s">
        <v>3</v>
      </c>
      <c r="E4" s="229" t="s">
        <v>4</v>
      </c>
      <c r="F4" s="229" t="s">
        <v>100</v>
      </c>
      <c r="G4" s="229" t="s">
        <v>99</v>
      </c>
      <c r="H4" s="229" t="s">
        <v>115</v>
      </c>
      <c r="I4" s="229" t="s">
        <v>116</v>
      </c>
      <c r="J4" s="229" t="s">
        <v>145</v>
      </c>
      <c r="K4" s="229" t="s">
        <v>316</v>
      </c>
      <c r="L4" s="229" t="s">
        <v>317</v>
      </c>
      <c r="M4" s="229" t="s">
        <v>318</v>
      </c>
      <c r="N4" s="229" t="s">
        <v>319</v>
      </c>
      <c r="O4" s="229" t="s">
        <v>320</v>
      </c>
      <c r="P4" s="229" t="s">
        <v>566</v>
      </c>
      <c r="Q4" s="229" t="s">
        <v>567</v>
      </c>
    </row>
    <row r="5" spans="1:17" ht="40.5" customHeight="1" thickBot="1" x14ac:dyDescent="0.3">
      <c r="A5" s="227"/>
      <c r="B5" s="227"/>
      <c r="C5" s="632" t="s">
        <v>568</v>
      </c>
      <c r="D5" s="633"/>
      <c r="E5" s="633"/>
      <c r="F5" s="633"/>
      <c r="G5" s="633"/>
      <c r="H5" s="634"/>
      <c r="I5" s="635" t="s">
        <v>569</v>
      </c>
      <c r="J5" s="633"/>
      <c r="K5" s="633"/>
      <c r="L5" s="633"/>
      <c r="M5" s="633"/>
      <c r="N5" s="634"/>
      <c r="O5" s="636" t="s">
        <v>570</v>
      </c>
      <c r="P5" s="632" t="s">
        <v>571</v>
      </c>
      <c r="Q5" s="634"/>
    </row>
    <row r="6" spans="1:17" ht="57.75" customHeight="1" thickBot="1" x14ac:dyDescent="0.3">
      <c r="A6" s="227"/>
      <c r="B6" s="227"/>
      <c r="C6" s="638" t="s">
        <v>572</v>
      </c>
      <c r="D6" s="639"/>
      <c r="E6" s="640"/>
      <c r="F6" s="641" t="s">
        <v>468</v>
      </c>
      <c r="G6" s="639"/>
      <c r="H6" s="640"/>
      <c r="I6" s="641" t="s">
        <v>573</v>
      </c>
      <c r="J6" s="639"/>
      <c r="K6" s="640"/>
      <c r="L6" s="641" t="s">
        <v>574</v>
      </c>
      <c r="M6" s="639"/>
      <c r="N6" s="640"/>
      <c r="O6" s="637"/>
      <c r="P6" s="642" t="s">
        <v>575</v>
      </c>
      <c r="Q6" s="642" t="s">
        <v>576</v>
      </c>
    </row>
    <row r="7" spans="1:17" ht="16.5" thickBot="1" x14ac:dyDescent="0.3">
      <c r="A7" s="227"/>
      <c r="B7" s="230"/>
      <c r="C7" s="231"/>
      <c r="D7" s="229" t="s">
        <v>577</v>
      </c>
      <c r="E7" s="229" t="s">
        <v>578</v>
      </c>
      <c r="F7" s="231"/>
      <c r="G7" s="229" t="s">
        <v>578</v>
      </c>
      <c r="H7" s="229" t="s">
        <v>579</v>
      </c>
      <c r="I7" s="232"/>
      <c r="J7" s="233" t="s">
        <v>577</v>
      </c>
      <c r="K7" s="233" t="s">
        <v>578</v>
      </c>
      <c r="L7" s="231"/>
      <c r="M7" s="233" t="s">
        <v>578</v>
      </c>
      <c r="N7" s="233" t="s">
        <v>579</v>
      </c>
      <c r="O7" s="231"/>
      <c r="P7" s="643"/>
      <c r="Q7" s="643"/>
    </row>
    <row r="8" spans="1:17" ht="32.25" thickBot="1" x14ac:dyDescent="0.3">
      <c r="A8" s="234" t="s">
        <v>580</v>
      </c>
      <c r="B8" s="235" t="s">
        <v>581</v>
      </c>
      <c r="C8" s="300">
        <f>SUM(D8:E8)</f>
        <v>903333</v>
      </c>
      <c r="D8" s="301">
        <v>903333</v>
      </c>
      <c r="E8" s="301">
        <v>0</v>
      </c>
      <c r="F8" s="300">
        <f>SUM(G8:H8)</f>
        <v>0</v>
      </c>
      <c r="G8" s="301">
        <v>0</v>
      </c>
      <c r="H8" s="301">
        <v>0</v>
      </c>
      <c r="I8" s="300">
        <f>SUM(J8:K8)</f>
        <v>16</v>
      </c>
      <c r="J8" s="300">
        <v>16</v>
      </c>
      <c r="K8" s="300">
        <v>0</v>
      </c>
      <c r="L8" s="300">
        <f>SUM(M8:N8)</f>
        <v>0</v>
      </c>
      <c r="M8" s="300">
        <v>0</v>
      </c>
      <c r="N8" s="300">
        <v>0</v>
      </c>
      <c r="O8" s="300"/>
      <c r="P8" s="301"/>
      <c r="Q8" s="301"/>
    </row>
    <row r="9" spans="1:17" ht="15.75" thickBot="1" x14ac:dyDescent="0.3">
      <c r="A9" s="234" t="s">
        <v>335</v>
      </c>
      <c r="B9" s="235" t="s">
        <v>582</v>
      </c>
      <c r="C9" s="300">
        <f t="shared" ref="C9:C29" si="0">SUM(D9:E9)</f>
        <v>1747092</v>
      </c>
      <c r="D9" s="301">
        <f>+D10+D11+D12+D13+D14+D16</f>
        <v>1246590</v>
      </c>
      <c r="E9" s="301">
        <v>500502</v>
      </c>
      <c r="F9" s="300">
        <f t="shared" ref="F9:F29" si="1">SUM(G9:H9)</f>
        <v>160869</v>
      </c>
      <c r="G9" s="301">
        <f t="shared" ref="G9:H9" si="2">+G10+G11+G12+G13+G14+G16</f>
        <v>11584</v>
      </c>
      <c r="H9" s="301">
        <f t="shared" si="2"/>
        <v>149285</v>
      </c>
      <c r="I9" s="300">
        <f t="shared" ref="I9:I29" si="3">SUM(J9:K9)</f>
        <v>34007</v>
      </c>
      <c r="J9" s="301">
        <f t="shared" ref="J9" si="4">+J10+J11+J12+J13+J14+J16</f>
        <v>6255</v>
      </c>
      <c r="K9" s="301">
        <f t="shared" ref="K9" si="5">+K10+K11+K12+K13+K14+K16</f>
        <v>27752</v>
      </c>
      <c r="L9" s="300">
        <f t="shared" ref="L9:L29" si="6">SUM(M9:N9)</f>
        <v>65304</v>
      </c>
      <c r="M9" s="301">
        <f t="shared" ref="M9" si="7">+M10+M11+M12+M13+M14+M16</f>
        <v>560</v>
      </c>
      <c r="N9" s="301">
        <f t="shared" ref="N9" si="8">+N10+N11+N12+N13+N14+N16</f>
        <v>64744</v>
      </c>
      <c r="O9" s="300">
        <v>0</v>
      </c>
      <c r="P9" s="301">
        <f t="shared" ref="P9" si="9">+P10+P11+P12+P13+P14+P16</f>
        <v>73994</v>
      </c>
      <c r="Q9" s="301">
        <f t="shared" ref="Q9" si="10">+Q10+Q11+Q12+Q13+Q14+Q16</f>
        <v>0</v>
      </c>
    </row>
    <row r="10" spans="1:17" ht="15.75" thickBot="1" x14ac:dyDescent="0.3">
      <c r="A10" s="237" t="s">
        <v>337</v>
      </c>
      <c r="B10" s="238" t="s">
        <v>583</v>
      </c>
      <c r="C10" s="300">
        <f t="shared" si="0"/>
        <v>0</v>
      </c>
      <c r="D10" s="303"/>
      <c r="E10" s="303"/>
      <c r="F10" s="300">
        <f t="shared" si="1"/>
        <v>0</v>
      </c>
      <c r="G10" s="301"/>
      <c r="H10" s="301"/>
      <c r="I10" s="300">
        <f t="shared" si="3"/>
        <v>0</v>
      </c>
      <c r="J10" s="301"/>
      <c r="K10" s="301"/>
      <c r="L10" s="300">
        <f t="shared" si="6"/>
        <v>0</v>
      </c>
      <c r="M10" s="301"/>
      <c r="N10" s="301"/>
      <c r="O10" s="301"/>
      <c r="P10" s="301"/>
      <c r="Q10" s="302"/>
    </row>
    <row r="11" spans="1:17" ht="15.75" thickBot="1" x14ac:dyDescent="0.3">
      <c r="A11" s="237" t="s">
        <v>584</v>
      </c>
      <c r="B11" s="238" t="s">
        <v>585</v>
      </c>
      <c r="C11" s="300">
        <f t="shared" si="0"/>
        <v>0</v>
      </c>
      <c r="D11" s="303"/>
      <c r="E11" s="303"/>
      <c r="F11" s="300">
        <f t="shared" si="1"/>
        <v>0</v>
      </c>
      <c r="G11" s="301"/>
      <c r="H11" s="301"/>
      <c r="I11" s="300">
        <f t="shared" si="3"/>
        <v>0</v>
      </c>
      <c r="J11" s="301"/>
      <c r="K11" s="301"/>
      <c r="L11" s="300">
        <f t="shared" si="6"/>
        <v>0</v>
      </c>
      <c r="M11" s="301"/>
      <c r="N11" s="301"/>
      <c r="O11" s="301"/>
      <c r="P11" s="301"/>
      <c r="Q11" s="302"/>
    </row>
    <row r="12" spans="1:17" ht="15.75" thickBot="1" x14ac:dyDescent="0.3">
      <c r="A12" s="237" t="s">
        <v>586</v>
      </c>
      <c r="B12" s="238" t="s">
        <v>587</v>
      </c>
      <c r="C12" s="300">
        <f t="shared" si="0"/>
        <v>34968</v>
      </c>
      <c r="D12" s="303">
        <v>34968</v>
      </c>
      <c r="E12" s="303">
        <v>0</v>
      </c>
      <c r="F12" s="300">
        <f t="shared" si="1"/>
        <v>0</v>
      </c>
      <c r="G12" s="301">
        <v>0</v>
      </c>
      <c r="H12" s="301">
        <v>0</v>
      </c>
      <c r="I12" s="300">
        <f t="shared" si="3"/>
        <v>0</v>
      </c>
      <c r="J12" s="301">
        <v>0</v>
      </c>
      <c r="K12" s="301">
        <v>0</v>
      </c>
      <c r="L12" s="300">
        <f t="shared" si="6"/>
        <v>0</v>
      </c>
      <c r="M12" s="301">
        <v>0</v>
      </c>
      <c r="N12" s="301">
        <v>0</v>
      </c>
      <c r="O12" s="301"/>
      <c r="P12" s="301"/>
      <c r="Q12" s="302"/>
    </row>
    <row r="13" spans="1:17" ht="15.75" thickBot="1" x14ac:dyDescent="0.3">
      <c r="A13" s="237" t="s">
        <v>588</v>
      </c>
      <c r="B13" s="238" t="s">
        <v>589</v>
      </c>
      <c r="C13" s="300">
        <f t="shared" si="0"/>
        <v>78147</v>
      </c>
      <c r="D13" s="303">
        <v>64388</v>
      </c>
      <c r="E13" s="303">
        <v>13759</v>
      </c>
      <c r="F13" s="300">
        <f t="shared" si="1"/>
        <v>5012</v>
      </c>
      <c r="G13" s="301">
        <v>42</v>
      </c>
      <c r="H13" s="301">
        <v>4970</v>
      </c>
      <c r="I13" s="300">
        <f t="shared" si="3"/>
        <v>860</v>
      </c>
      <c r="J13" s="301">
        <v>120</v>
      </c>
      <c r="K13" s="301">
        <v>740</v>
      </c>
      <c r="L13" s="300">
        <f t="shared" si="6"/>
        <v>1880</v>
      </c>
      <c r="M13" s="301">
        <v>0</v>
      </c>
      <c r="N13" s="301">
        <v>1880</v>
      </c>
      <c r="O13" s="301"/>
      <c r="P13" s="301"/>
      <c r="Q13" s="302"/>
    </row>
    <row r="14" spans="1:17" ht="15.75" thickBot="1" x14ac:dyDescent="0.3">
      <c r="A14" s="237" t="s">
        <v>590</v>
      </c>
      <c r="B14" s="238" t="s">
        <v>591</v>
      </c>
      <c r="C14" s="300">
        <f t="shared" si="0"/>
        <v>1025993</v>
      </c>
      <c r="D14" s="427">
        <v>591444</v>
      </c>
      <c r="E14" s="427">
        <v>434549</v>
      </c>
      <c r="F14" s="300">
        <f t="shared" si="1"/>
        <v>117107</v>
      </c>
      <c r="G14" s="428">
        <f>10714+67</f>
        <v>10781</v>
      </c>
      <c r="H14" s="428">
        <v>106326</v>
      </c>
      <c r="I14" s="300">
        <f t="shared" si="3"/>
        <v>24798</v>
      </c>
      <c r="J14" s="428">
        <f>3694-92</f>
        <v>3602</v>
      </c>
      <c r="K14" s="428">
        <v>21196</v>
      </c>
      <c r="L14" s="300">
        <f t="shared" si="6"/>
        <v>36497</v>
      </c>
      <c r="M14" s="301">
        <v>473</v>
      </c>
      <c r="N14" s="301">
        <v>36024</v>
      </c>
      <c r="O14" s="301"/>
      <c r="P14" s="428">
        <v>32601</v>
      </c>
      <c r="Q14" s="302"/>
    </row>
    <row r="15" spans="1:17" ht="15.75" thickBot="1" x14ac:dyDescent="0.3">
      <c r="A15" s="237" t="s">
        <v>592</v>
      </c>
      <c r="B15" s="239" t="s">
        <v>593</v>
      </c>
      <c r="C15" s="300">
        <f t="shared" si="0"/>
        <v>435972</v>
      </c>
      <c r="D15" s="303">
        <v>340177</v>
      </c>
      <c r="E15" s="303">
        <v>95795</v>
      </c>
      <c r="F15" s="300">
        <f t="shared" si="1"/>
        <v>91936</v>
      </c>
      <c r="G15" s="301">
        <v>10714</v>
      </c>
      <c r="H15" s="301">
        <v>81222</v>
      </c>
      <c r="I15" s="300">
        <f t="shared" si="3"/>
        <v>7949</v>
      </c>
      <c r="J15" s="301">
        <v>1435</v>
      </c>
      <c r="K15" s="301">
        <v>6514</v>
      </c>
      <c r="L15" s="300">
        <f t="shared" si="6"/>
        <v>29836</v>
      </c>
      <c r="M15" s="301">
        <v>473</v>
      </c>
      <c r="N15" s="301">
        <v>29363</v>
      </c>
      <c r="O15" s="301"/>
      <c r="P15" s="428"/>
      <c r="Q15" s="302"/>
    </row>
    <row r="16" spans="1:17" ht="15.75" thickBot="1" x14ac:dyDescent="0.3">
      <c r="A16" s="237" t="s">
        <v>594</v>
      </c>
      <c r="B16" s="238" t="s">
        <v>595</v>
      </c>
      <c r="C16" s="300">
        <f t="shared" si="0"/>
        <v>607984</v>
      </c>
      <c r="D16" s="303">
        <v>555790</v>
      </c>
      <c r="E16" s="303">
        <v>52194</v>
      </c>
      <c r="F16" s="300">
        <f t="shared" si="1"/>
        <v>38750</v>
      </c>
      <c r="G16" s="301">
        <v>761</v>
      </c>
      <c r="H16" s="301">
        <v>37989</v>
      </c>
      <c r="I16" s="300">
        <f t="shared" si="3"/>
        <v>8349</v>
      </c>
      <c r="J16" s="301">
        <v>2533</v>
      </c>
      <c r="K16" s="301">
        <v>5816</v>
      </c>
      <c r="L16" s="300">
        <f t="shared" si="6"/>
        <v>26927</v>
      </c>
      <c r="M16" s="301">
        <v>87</v>
      </c>
      <c r="N16" s="301">
        <v>26840</v>
      </c>
      <c r="O16" s="301"/>
      <c r="P16" s="428">
        <f>73994-32601</f>
        <v>41393</v>
      </c>
      <c r="Q16" s="302"/>
    </row>
    <row r="17" spans="1:17" ht="15.75" thickBot="1" x14ac:dyDescent="0.3">
      <c r="A17" s="240" t="s">
        <v>596</v>
      </c>
      <c r="B17" s="236" t="s">
        <v>597</v>
      </c>
      <c r="C17" s="300">
        <f t="shared" si="0"/>
        <v>0</v>
      </c>
      <c r="D17" s="301"/>
      <c r="E17" s="301"/>
      <c r="F17" s="300">
        <f t="shared" si="1"/>
        <v>0</v>
      </c>
      <c r="G17" s="301"/>
      <c r="H17" s="301"/>
      <c r="I17" s="300">
        <f t="shared" si="3"/>
        <v>0</v>
      </c>
      <c r="J17" s="301"/>
      <c r="K17" s="301"/>
      <c r="L17" s="300">
        <f t="shared" si="6"/>
        <v>0</v>
      </c>
      <c r="M17" s="301"/>
      <c r="N17" s="301"/>
      <c r="O17" s="301"/>
      <c r="P17" s="301"/>
      <c r="Q17" s="302"/>
    </row>
    <row r="18" spans="1:17" ht="15.75" thickBot="1" x14ac:dyDescent="0.3">
      <c r="A18" s="237" t="s">
        <v>598</v>
      </c>
      <c r="B18" s="238" t="s">
        <v>583</v>
      </c>
      <c r="C18" s="300">
        <f t="shared" si="0"/>
        <v>0</v>
      </c>
      <c r="D18" s="303"/>
      <c r="E18" s="303"/>
      <c r="F18" s="300">
        <f t="shared" si="1"/>
        <v>0</v>
      </c>
      <c r="G18" s="301"/>
      <c r="H18" s="301"/>
      <c r="I18" s="300">
        <f t="shared" si="3"/>
        <v>0</v>
      </c>
      <c r="J18" s="301"/>
      <c r="K18" s="301"/>
      <c r="L18" s="300">
        <f t="shared" si="6"/>
        <v>0</v>
      </c>
      <c r="M18" s="301"/>
      <c r="N18" s="301"/>
      <c r="O18" s="301"/>
      <c r="P18" s="301"/>
      <c r="Q18" s="302"/>
    </row>
    <row r="19" spans="1:17" ht="15.75" thickBot="1" x14ac:dyDescent="0.3">
      <c r="A19" s="237" t="s">
        <v>599</v>
      </c>
      <c r="B19" s="238" t="s">
        <v>585</v>
      </c>
      <c r="C19" s="300">
        <f t="shared" si="0"/>
        <v>0</v>
      </c>
      <c r="D19" s="303"/>
      <c r="E19" s="303"/>
      <c r="F19" s="300">
        <f t="shared" si="1"/>
        <v>0</v>
      </c>
      <c r="G19" s="301"/>
      <c r="H19" s="301"/>
      <c r="I19" s="300">
        <f t="shared" si="3"/>
        <v>0</v>
      </c>
      <c r="J19" s="301"/>
      <c r="K19" s="301"/>
      <c r="L19" s="300">
        <f t="shared" si="6"/>
        <v>0</v>
      </c>
      <c r="M19" s="301"/>
      <c r="N19" s="301"/>
      <c r="O19" s="301"/>
      <c r="P19" s="301"/>
      <c r="Q19" s="302"/>
    </row>
    <row r="20" spans="1:17" ht="15.75" thickBot="1" x14ac:dyDescent="0.3">
      <c r="A20" s="237" t="s">
        <v>600</v>
      </c>
      <c r="B20" s="238" t="s">
        <v>587</v>
      </c>
      <c r="C20" s="300">
        <f t="shared" si="0"/>
        <v>0</v>
      </c>
      <c r="D20" s="303"/>
      <c r="E20" s="303"/>
      <c r="F20" s="300">
        <f t="shared" si="1"/>
        <v>0</v>
      </c>
      <c r="G20" s="301"/>
      <c r="H20" s="301"/>
      <c r="I20" s="300">
        <f t="shared" si="3"/>
        <v>0</v>
      </c>
      <c r="J20" s="301"/>
      <c r="K20" s="301"/>
      <c r="L20" s="300">
        <f t="shared" si="6"/>
        <v>0</v>
      </c>
      <c r="M20" s="301"/>
      <c r="N20" s="301"/>
      <c r="O20" s="301"/>
      <c r="P20" s="301"/>
      <c r="Q20" s="302"/>
    </row>
    <row r="21" spans="1:17" ht="15.75" thickBot="1" x14ac:dyDescent="0.3">
      <c r="A21" s="237" t="s">
        <v>601</v>
      </c>
      <c r="B21" s="238" t="s">
        <v>589</v>
      </c>
      <c r="C21" s="300">
        <f t="shared" si="0"/>
        <v>0</v>
      </c>
      <c r="D21" s="303"/>
      <c r="E21" s="303"/>
      <c r="F21" s="300">
        <f t="shared" si="1"/>
        <v>0</v>
      </c>
      <c r="G21" s="301"/>
      <c r="H21" s="301"/>
      <c r="I21" s="300">
        <f t="shared" si="3"/>
        <v>0</v>
      </c>
      <c r="J21" s="301"/>
      <c r="K21" s="301"/>
      <c r="L21" s="300">
        <f t="shared" si="6"/>
        <v>0</v>
      </c>
      <c r="M21" s="301"/>
      <c r="N21" s="301"/>
      <c r="O21" s="301"/>
      <c r="P21" s="301"/>
      <c r="Q21" s="302"/>
    </row>
    <row r="22" spans="1:17" ht="15.75" thickBot="1" x14ac:dyDescent="0.3">
      <c r="A22" s="237" t="s">
        <v>602</v>
      </c>
      <c r="B22" s="238" t="s">
        <v>591</v>
      </c>
      <c r="C22" s="300">
        <f t="shared" si="0"/>
        <v>0</v>
      </c>
      <c r="D22" s="303"/>
      <c r="E22" s="303"/>
      <c r="F22" s="300">
        <f t="shared" si="1"/>
        <v>0</v>
      </c>
      <c r="G22" s="301"/>
      <c r="H22" s="301"/>
      <c r="I22" s="300">
        <f t="shared" si="3"/>
        <v>0</v>
      </c>
      <c r="J22" s="301"/>
      <c r="K22" s="301"/>
      <c r="L22" s="300">
        <f t="shared" si="6"/>
        <v>0</v>
      </c>
      <c r="M22" s="301"/>
      <c r="N22" s="301"/>
      <c r="O22" s="301"/>
      <c r="P22" s="301"/>
      <c r="Q22" s="302"/>
    </row>
    <row r="23" spans="1:17" ht="21.75" thickBot="1" x14ac:dyDescent="0.3">
      <c r="A23" s="240" t="s">
        <v>603</v>
      </c>
      <c r="B23" s="236" t="s">
        <v>400</v>
      </c>
      <c r="C23" s="300">
        <f t="shared" si="0"/>
        <v>1426312</v>
      </c>
      <c r="D23" s="301">
        <f>SUM(D24:D29)</f>
        <v>1302289</v>
      </c>
      <c r="E23" s="301">
        <f>SUM(E24:E29)</f>
        <v>124023</v>
      </c>
      <c r="F23" s="300">
        <f t="shared" si="1"/>
        <v>47415</v>
      </c>
      <c r="G23" s="300">
        <f>SUM(G24:G29)</f>
        <v>9325</v>
      </c>
      <c r="H23" s="300">
        <f>SUM(H24:H29)</f>
        <v>38090</v>
      </c>
      <c r="I23" s="300">
        <f t="shared" si="3"/>
        <v>5131</v>
      </c>
      <c r="J23" s="300">
        <f>SUM(J24:J29)</f>
        <v>1528</v>
      </c>
      <c r="K23" s="300">
        <f>SUM(K24:K29)</f>
        <v>3603</v>
      </c>
      <c r="L23" s="300">
        <f t="shared" si="6"/>
        <v>3799</v>
      </c>
      <c r="M23" s="300">
        <f>SUM(M24:M29)</f>
        <v>241</v>
      </c>
      <c r="N23" s="300">
        <f>SUM(N24:N29)</f>
        <v>3558</v>
      </c>
      <c r="O23" s="304"/>
      <c r="P23" s="301"/>
      <c r="Q23" s="305"/>
    </row>
    <row r="24" spans="1:17" ht="15.75" thickBot="1" x14ac:dyDescent="0.3">
      <c r="A24" s="237" t="s">
        <v>604</v>
      </c>
      <c r="B24" s="238" t="s">
        <v>583</v>
      </c>
      <c r="C24" s="300">
        <f t="shared" si="0"/>
        <v>0</v>
      </c>
      <c r="D24" s="301"/>
      <c r="E24" s="301"/>
      <c r="F24" s="300">
        <f t="shared" si="1"/>
        <v>0</v>
      </c>
      <c r="G24" s="301"/>
      <c r="H24" s="301"/>
      <c r="I24" s="300">
        <f t="shared" si="3"/>
        <v>0</v>
      </c>
      <c r="J24" s="301"/>
      <c r="K24" s="301"/>
      <c r="L24" s="300">
        <f t="shared" si="6"/>
        <v>0</v>
      </c>
      <c r="M24" s="301"/>
      <c r="N24" s="301"/>
      <c r="O24" s="304"/>
      <c r="P24" s="301"/>
      <c r="Q24" s="305"/>
    </row>
    <row r="25" spans="1:17" ht="15.75" thickBot="1" x14ac:dyDescent="0.3">
      <c r="A25" s="237" t="s">
        <v>605</v>
      </c>
      <c r="B25" s="238" t="s">
        <v>585</v>
      </c>
      <c r="C25" s="300">
        <f t="shared" si="0"/>
        <v>0</v>
      </c>
      <c r="D25" s="301"/>
      <c r="E25" s="301"/>
      <c r="F25" s="300">
        <f t="shared" si="1"/>
        <v>0</v>
      </c>
      <c r="G25" s="301"/>
      <c r="H25" s="301"/>
      <c r="I25" s="300">
        <f t="shared" si="3"/>
        <v>0</v>
      </c>
      <c r="J25" s="301"/>
      <c r="K25" s="301"/>
      <c r="L25" s="300">
        <f t="shared" si="6"/>
        <v>0</v>
      </c>
      <c r="M25" s="301"/>
      <c r="N25" s="301"/>
      <c r="O25" s="304"/>
      <c r="P25" s="301"/>
      <c r="Q25" s="305"/>
    </row>
    <row r="26" spans="1:17" ht="15.75" thickBot="1" x14ac:dyDescent="0.3">
      <c r="A26" s="237" t="s">
        <v>606</v>
      </c>
      <c r="B26" s="238" t="s">
        <v>587</v>
      </c>
      <c r="C26" s="300">
        <f t="shared" si="0"/>
        <v>0</v>
      </c>
      <c r="D26" s="301"/>
      <c r="E26" s="301"/>
      <c r="F26" s="300">
        <f t="shared" si="1"/>
        <v>0</v>
      </c>
      <c r="G26" s="301"/>
      <c r="H26" s="301"/>
      <c r="I26" s="300">
        <f t="shared" si="3"/>
        <v>0</v>
      </c>
      <c r="J26" s="301"/>
      <c r="K26" s="301"/>
      <c r="L26" s="300">
        <f t="shared" si="6"/>
        <v>0</v>
      </c>
      <c r="M26" s="301"/>
      <c r="N26" s="301"/>
      <c r="O26" s="304"/>
      <c r="P26" s="301"/>
      <c r="Q26" s="305"/>
    </row>
    <row r="27" spans="1:17" ht="15.75" thickBot="1" x14ac:dyDescent="0.3">
      <c r="A27" s="237" t="s">
        <v>607</v>
      </c>
      <c r="B27" s="238" t="s">
        <v>589</v>
      </c>
      <c r="C27" s="300">
        <f t="shared" si="0"/>
        <v>119753</v>
      </c>
      <c r="D27" s="301">
        <v>109161</v>
      </c>
      <c r="E27" s="301">
        <v>10592</v>
      </c>
      <c r="F27" s="300">
        <f t="shared" si="1"/>
        <v>688</v>
      </c>
      <c r="G27" s="301">
        <v>0</v>
      </c>
      <c r="H27" s="301">
        <v>688</v>
      </c>
      <c r="I27" s="300">
        <f t="shared" si="3"/>
        <v>355</v>
      </c>
      <c r="J27" s="301">
        <v>147</v>
      </c>
      <c r="K27" s="301">
        <v>208</v>
      </c>
      <c r="L27" s="300">
        <f t="shared" si="6"/>
        <v>0</v>
      </c>
      <c r="M27" s="301">
        <v>0</v>
      </c>
      <c r="N27" s="301">
        <v>0</v>
      </c>
      <c r="O27" s="304"/>
      <c r="P27" s="301"/>
      <c r="Q27" s="305"/>
    </row>
    <row r="28" spans="1:17" ht="15.75" thickBot="1" x14ac:dyDescent="0.3">
      <c r="A28" s="237" t="s">
        <v>608</v>
      </c>
      <c r="B28" s="238" t="s">
        <v>591</v>
      </c>
      <c r="C28" s="300">
        <f t="shared" si="0"/>
        <v>508885</v>
      </c>
      <c r="D28" s="301">
        <v>434934</v>
      </c>
      <c r="E28" s="301">
        <v>73951</v>
      </c>
      <c r="F28" s="300">
        <f t="shared" si="1"/>
        <v>27938</v>
      </c>
      <c r="G28" s="301">
        <v>5262</v>
      </c>
      <c r="H28" s="301">
        <v>22676</v>
      </c>
      <c r="I28" s="300">
        <f t="shared" si="3"/>
        <v>3291</v>
      </c>
      <c r="J28" s="301">
        <v>689</v>
      </c>
      <c r="K28" s="301">
        <v>2602</v>
      </c>
      <c r="L28" s="300">
        <f t="shared" si="6"/>
        <v>1804</v>
      </c>
      <c r="M28" s="301">
        <v>58</v>
      </c>
      <c r="N28" s="301">
        <v>1746</v>
      </c>
      <c r="O28" s="304"/>
      <c r="P28" s="301"/>
      <c r="Q28" s="305"/>
    </row>
    <row r="29" spans="1:17" ht="15.75" thickBot="1" x14ac:dyDescent="0.3">
      <c r="A29" s="237" t="s">
        <v>609</v>
      </c>
      <c r="B29" s="238" t="s">
        <v>595</v>
      </c>
      <c r="C29" s="300">
        <f t="shared" si="0"/>
        <v>797674</v>
      </c>
      <c r="D29" s="301">
        <v>758194</v>
      </c>
      <c r="E29" s="301">
        <v>39480</v>
      </c>
      <c r="F29" s="300">
        <f t="shared" si="1"/>
        <v>18789</v>
      </c>
      <c r="G29" s="301">
        <v>4063</v>
      </c>
      <c r="H29" s="301">
        <v>14726</v>
      </c>
      <c r="I29" s="300">
        <f t="shared" si="3"/>
        <v>1485</v>
      </c>
      <c r="J29" s="301">
        <v>692</v>
      </c>
      <c r="K29" s="301">
        <v>793</v>
      </c>
      <c r="L29" s="300">
        <f t="shared" si="6"/>
        <v>1995</v>
      </c>
      <c r="M29" s="301">
        <v>183</v>
      </c>
      <c r="N29" s="301">
        <v>1812</v>
      </c>
      <c r="O29" s="304"/>
      <c r="P29" s="301"/>
      <c r="Q29" s="305"/>
    </row>
    <row r="30" spans="1:17" s="26" customFormat="1" ht="15.75" thickBot="1" x14ac:dyDescent="0.3">
      <c r="A30" s="242" t="s">
        <v>610</v>
      </c>
      <c r="B30" s="241" t="s">
        <v>38</v>
      </c>
      <c r="C30" s="306">
        <f>+C9+C23</f>
        <v>3173404</v>
      </c>
      <c r="D30" s="306">
        <f t="shared" ref="D30:P30" si="11">+D9+D23</f>
        <v>2548879</v>
      </c>
      <c r="E30" s="306">
        <f t="shared" si="11"/>
        <v>624525</v>
      </c>
      <c r="F30" s="306">
        <f t="shared" si="11"/>
        <v>208284</v>
      </c>
      <c r="G30" s="306">
        <f t="shared" si="11"/>
        <v>20909</v>
      </c>
      <c r="H30" s="306">
        <f t="shared" si="11"/>
        <v>187375</v>
      </c>
      <c r="I30" s="306">
        <f t="shared" si="11"/>
        <v>39138</v>
      </c>
      <c r="J30" s="306">
        <f t="shared" si="11"/>
        <v>7783</v>
      </c>
      <c r="K30" s="306">
        <f t="shared" si="11"/>
        <v>31355</v>
      </c>
      <c r="L30" s="306">
        <f t="shared" si="11"/>
        <v>69103</v>
      </c>
      <c r="M30" s="306">
        <f t="shared" si="11"/>
        <v>801</v>
      </c>
      <c r="N30" s="306">
        <f t="shared" si="11"/>
        <v>68302</v>
      </c>
      <c r="O30" s="306">
        <f t="shared" si="11"/>
        <v>0</v>
      </c>
      <c r="P30" s="306">
        <f t="shared" si="11"/>
        <v>73994</v>
      </c>
      <c r="Q30" s="305"/>
    </row>
    <row r="34" spans="3:3" x14ac:dyDescent="0.25">
      <c r="C34" s="267"/>
    </row>
    <row r="36" spans="3:3" x14ac:dyDescent="0.25">
      <c r="C36" s="267"/>
    </row>
    <row r="37" spans="3:3" x14ac:dyDescent="0.25">
      <c r="C37" s="267"/>
    </row>
  </sheetData>
  <sheetProtection algorithmName="SHA-512" hashValue="TOc52q6tyJSJrAhooRR0ifgb5CQrRArC5nwascPhxKu2JwJQc7CL+OdrP17HbvL4rWqmMSXdZKzafGjd65LR2Q==" saltValue="tP0ltbSRe/Emm4jEyyJjOA==" spinCount="100000" sheet="1" objects="1" scenarios="1"/>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7" orientation="landscape" r:id="rId1"/>
  <headerFooter>
    <oddHeader>&amp;CDA
Bilag XV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D61CD-C8D9-41CA-BC7B-2771143C5E21}">
  <sheetPr>
    <tabColor theme="0" tint="-0.14999847407452621"/>
    <pageSetUpPr fitToPage="1"/>
  </sheetPr>
  <dimension ref="B2:I9"/>
  <sheetViews>
    <sheetView workbookViewId="0"/>
  </sheetViews>
  <sheetFormatPr defaultRowHeight="15" x14ac:dyDescent="0.25"/>
  <cols>
    <col min="1" max="1" width="7.140625" customWidth="1"/>
    <col min="2" max="2" width="6.140625" customWidth="1"/>
    <col min="3" max="3" width="27" customWidth="1"/>
    <col min="4" max="4" width="18.5703125" bestFit="1" customWidth="1"/>
    <col min="5" max="5" width="10.7109375" customWidth="1"/>
    <col min="6" max="6" width="21.85546875" customWidth="1"/>
    <col min="7" max="7" width="13.140625" customWidth="1"/>
    <col min="8" max="8" width="11.42578125" customWidth="1"/>
    <col min="9" max="9" width="10.85546875" customWidth="1"/>
  </cols>
  <sheetData>
    <row r="2" spans="2:9" x14ac:dyDescent="0.25">
      <c r="B2" s="225" t="s">
        <v>556</v>
      </c>
    </row>
    <row r="3" spans="2:9" x14ac:dyDescent="0.25">
      <c r="B3" s="243"/>
    </row>
    <row r="4" spans="2:9" x14ac:dyDescent="0.25">
      <c r="B4" s="243"/>
      <c r="D4" s="188" t="s">
        <v>2</v>
      </c>
      <c r="E4" s="188" t="s">
        <v>3</v>
      </c>
      <c r="F4" s="188" t="s">
        <v>4</v>
      </c>
      <c r="G4" s="188" t="s">
        <v>100</v>
      </c>
      <c r="H4" s="188" t="s">
        <v>99</v>
      </c>
      <c r="I4" s="188" t="s">
        <v>115</v>
      </c>
    </row>
    <row r="5" spans="2:9" x14ac:dyDescent="0.25">
      <c r="D5" s="644" t="s">
        <v>611</v>
      </c>
      <c r="E5" s="644"/>
      <c r="F5" s="644"/>
      <c r="G5" s="644"/>
      <c r="H5" s="644"/>
      <c r="I5" s="644"/>
    </row>
    <row r="6" spans="2:9" ht="42" customHeight="1" x14ac:dyDescent="0.25">
      <c r="D6" s="222" t="s">
        <v>612</v>
      </c>
      <c r="E6" s="222" t="s">
        <v>613</v>
      </c>
      <c r="F6" s="222" t="s">
        <v>614</v>
      </c>
      <c r="G6" s="222" t="s">
        <v>615</v>
      </c>
      <c r="H6" s="222" t="s">
        <v>616</v>
      </c>
      <c r="I6" s="222" t="s">
        <v>38</v>
      </c>
    </row>
    <row r="7" spans="2:9" x14ac:dyDescent="0.25">
      <c r="B7" s="89">
        <v>1</v>
      </c>
      <c r="C7" s="244" t="s">
        <v>582</v>
      </c>
      <c r="D7" s="424">
        <v>6797</v>
      </c>
      <c r="E7" s="424">
        <v>653730</v>
      </c>
      <c r="F7" s="424">
        <v>569898</v>
      </c>
      <c r="G7" s="288">
        <v>588294</v>
      </c>
      <c r="H7" s="288"/>
      <c r="I7" s="288">
        <f>SUM(D7:H7)</f>
        <v>1818719</v>
      </c>
    </row>
    <row r="8" spans="2:9" x14ac:dyDescent="0.25">
      <c r="B8" s="89">
        <v>2</v>
      </c>
      <c r="C8" s="244" t="s">
        <v>597</v>
      </c>
      <c r="D8" s="423"/>
      <c r="E8" s="423"/>
      <c r="F8" s="423"/>
      <c r="G8" s="423"/>
      <c r="H8" s="423"/>
      <c r="I8" s="423"/>
    </row>
    <row r="9" spans="2:9" x14ac:dyDescent="0.25">
      <c r="B9" s="245">
        <v>3</v>
      </c>
      <c r="C9" s="246" t="s">
        <v>38</v>
      </c>
      <c r="D9" s="288">
        <f>SUM(D7:D8)</f>
        <v>6797</v>
      </c>
      <c r="E9" s="288">
        <f t="shared" ref="E9:I9" si="0">SUM(E7:E8)</f>
        <v>653730</v>
      </c>
      <c r="F9" s="288">
        <f t="shared" si="0"/>
        <v>569898</v>
      </c>
      <c r="G9" s="288">
        <f t="shared" si="0"/>
        <v>588294</v>
      </c>
      <c r="H9" s="288">
        <f t="shared" si="0"/>
        <v>0</v>
      </c>
      <c r="I9" s="288">
        <f t="shared" si="0"/>
        <v>1818719</v>
      </c>
    </row>
  </sheetData>
  <sheetProtection algorithmName="SHA-512" hashValue="ncDKunWn9u1Hy/2h09kuk/4uGfVfCGgp4bVh3adakq3faokELiGEo0iIwanZbOsMhh0s2MDp4Csa6/SmBihpJw==" saltValue="oXbuEYQbKhKVB+NXCGWlNg==" spinCount="100000" sheet="1" objects="1" scenarios="1"/>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&amp;CDA
Bilag 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0FBF7-F9D2-4CE2-A5AD-99AD79867D5A}">
  <sheetPr>
    <tabColor theme="0" tint="-0.14999847407452621"/>
    <pageSetUpPr fitToPage="1"/>
  </sheetPr>
  <dimension ref="A1:N33"/>
  <sheetViews>
    <sheetView workbookViewId="0"/>
  </sheetViews>
  <sheetFormatPr defaultRowHeight="15" x14ac:dyDescent="0.25"/>
  <cols>
    <col min="2" max="2" width="24.85546875" customWidth="1"/>
    <col min="7" max="7" width="11" customWidth="1"/>
  </cols>
  <sheetData>
    <row r="1" spans="1:14" x14ac:dyDescent="0.25">
      <c r="A1" s="225" t="s">
        <v>561</v>
      </c>
    </row>
    <row r="2" spans="1:14" ht="16.5" thickBot="1" x14ac:dyDescent="0.3">
      <c r="A2" s="143"/>
      <c r="B2" s="226"/>
      <c r="C2" s="226"/>
      <c r="D2" s="226"/>
      <c r="E2" s="226"/>
      <c r="F2" s="226"/>
      <c r="G2" s="226"/>
      <c r="H2" s="226"/>
      <c r="I2" s="226"/>
      <c r="J2" s="226"/>
      <c r="K2" s="226"/>
      <c r="L2" s="226"/>
      <c r="M2" s="226"/>
      <c r="N2" s="226"/>
    </row>
    <row r="3" spans="1:14" ht="16.5" thickBot="1" x14ac:dyDescent="0.3">
      <c r="A3" s="227"/>
      <c r="B3" s="227"/>
      <c r="C3" s="228" t="s">
        <v>2</v>
      </c>
      <c r="D3" s="229" t="s">
        <v>3</v>
      </c>
      <c r="E3" s="229" t="s">
        <v>4</v>
      </c>
      <c r="F3" s="229" t="s">
        <v>100</v>
      </c>
      <c r="G3" s="229" t="s">
        <v>99</v>
      </c>
      <c r="H3" s="229" t="s">
        <v>115</v>
      </c>
      <c r="I3" s="229" t="s">
        <v>116</v>
      </c>
      <c r="J3" s="229" t="s">
        <v>145</v>
      </c>
      <c r="K3" s="229" t="s">
        <v>316</v>
      </c>
      <c r="L3" s="229" t="s">
        <v>317</v>
      </c>
      <c r="M3" s="229" t="s">
        <v>318</v>
      </c>
      <c r="N3" s="229" t="s">
        <v>319</v>
      </c>
    </row>
    <row r="4" spans="1:14" ht="16.5" thickBot="1" x14ac:dyDescent="0.3">
      <c r="A4" s="227"/>
      <c r="B4" s="227"/>
      <c r="C4" s="650" t="s">
        <v>568</v>
      </c>
      <c r="D4" s="651"/>
      <c r="E4" s="651"/>
      <c r="F4" s="651"/>
      <c r="G4" s="651"/>
      <c r="H4" s="651"/>
      <c r="I4" s="651"/>
      <c r="J4" s="651"/>
      <c r="K4" s="651"/>
      <c r="L4" s="651"/>
      <c r="M4" s="651"/>
      <c r="N4" s="652"/>
    </row>
    <row r="5" spans="1:14" ht="16.5" thickBot="1" x14ac:dyDescent="0.3">
      <c r="A5" s="227"/>
      <c r="B5" s="227"/>
      <c r="C5" s="638" t="s">
        <v>572</v>
      </c>
      <c r="D5" s="639"/>
      <c r="E5" s="640"/>
      <c r="F5" s="641" t="s">
        <v>468</v>
      </c>
      <c r="G5" s="639"/>
      <c r="H5" s="639"/>
      <c r="I5" s="639"/>
      <c r="J5" s="639"/>
      <c r="K5" s="639"/>
      <c r="L5" s="639"/>
      <c r="M5" s="639"/>
      <c r="N5" s="653"/>
    </row>
    <row r="6" spans="1:14" x14ac:dyDescent="0.25">
      <c r="A6" s="645"/>
      <c r="B6" s="646"/>
      <c r="C6" s="647"/>
      <c r="D6" s="642" t="s">
        <v>618</v>
      </c>
      <c r="E6" s="642" t="s">
        <v>619</v>
      </c>
      <c r="F6" s="647"/>
      <c r="G6" s="642" t="s">
        <v>620</v>
      </c>
      <c r="H6" s="642" t="s">
        <v>621</v>
      </c>
      <c r="I6" s="642" t="s">
        <v>622</v>
      </c>
      <c r="J6" s="642" t="s">
        <v>623</v>
      </c>
      <c r="K6" s="642" t="s">
        <v>624</v>
      </c>
      <c r="L6" s="642" t="s">
        <v>625</v>
      </c>
      <c r="M6" s="642" t="s">
        <v>626</v>
      </c>
      <c r="N6" s="642" t="s">
        <v>617</v>
      </c>
    </row>
    <row r="7" spans="1:14" x14ac:dyDescent="0.25">
      <c r="A7" s="645"/>
      <c r="B7" s="646"/>
      <c r="C7" s="647"/>
      <c r="D7" s="648"/>
      <c r="E7" s="648"/>
      <c r="F7" s="647"/>
      <c r="G7" s="648"/>
      <c r="H7" s="648"/>
      <c r="I7" s="648"/>
      <c r="J7" s="648"/>
      <c r="K7" s="648"/>
      <c r="L7" s="648"/>
      <c r="M7" s="648"/>
      <c r="N7" s="648"/>
    </row>
    <row r="8" spans="1:14" ht="39" customHeight="1" thickBot="1" x14ac:dyDescent="0.3">
      <c r="A8" s="227"/>
      <c r="B8" s="227"/>
      <c r="C8" s="247"/>
      <c r="D8" s="649"/>
      <c r="E8" s="649"/>
      <c r="F8" s="654"/>
      <c r="G8" s="649"/>
      <c r="H8" s="643"/>
      <c r="I8" s="643"/>
      <c r="J8" s="643"/>
      <c r="K8" s="643"/>
      <c r="L8" s="643"/>
      <c r="M8" s="643"/>
      <c r="N8" s="643"/>
    </row>
    <row r="9" spans="1:14" ht="32.25" thickBot="1" x14ac:dyDescent="0.3">
      <c r="A9" s="234" t="s">
        <v>580</v>
      </c>
      <c r="B9" s="235" t="s">
        <v>581</v>
      </c>
      <c r="C9" s="249"/>
      <c r="D9" s="248"/>
      <c r="E9" s="248"/>
      <c r="F9" s="248"/>
      <c r="G9" s="248"/>
      <c r="H9" s="248"/>
      <c r="I9" s="248"/>
      <c r="J9" s="248"/>
      <c r="K9" s="248"/>
      <c r="L9" s="248"/>
      <c r="M9" s="248"/>
      <c r="N9" s="248"/>
    </row>
    <row r="10" spans="1:14" ht="15.75" thickBot="1" x14ac:dyDescent="0.3">
      <c r="A10" s="234" t="s">
        <v>335</v>
      </c>
      <c r="B10" s="235" t="s">
        <v>582</v>
      </c>
      <c r="C10" s="249"/>
      <c r="D10" s="248"/>
      <c r="E10" s="248"/>
      <c r="F10" s="248"/>
      <c r="G10" s="248"/>
      <c r="H10" s="248"/>
      <c r="I10" s="248"/>
      <c r="J10" s="248"/>
      <c r="K10" s="248"/>
      <c r="L10" s="248"/>
      <c r="M10" s="248"/>
      <c r="N10" s="248"/>
    </row>
    <row r="11" spans="1:14" ht="15.75" thickBot="1" x14ac:dyDescent="0.3">
      <c r="A11" s="237" t="s">
        <v>337</v>
      </c>
      <c r="B11" s="238" t="s">
        <v>583</v>
      </c>
      <c r="C11" s="249"/>
      <c r="D11" s="248"/>
      <c r="E11" s="248"/>
      <c r="F11" s="248"/>
      <c r="G11" s="248"/>
      <c r="H11" s="248"/>
      <c r="I11" s="248"/>
      <c r="J11" s="248"/>
      <c r="K11" s="248"/>
      <c r="L11" s="248"/>
      <c r="M11" s="248"/>
      <c r="N11" s="248"/>
    </row>
    <row r="12" spans="1:14" ht="15.75" thickBot="1" x14ac:dyDescent="0.3">
      <c r="A12" s="237" t="s">
        <v>584</v>
      </c>
      <c r="B12" s="238" t="s">
        <v>585</v>
      </c>
      <c r="C12" s="249"/>
      <c r="D12" s="248"/>
      <c r="E12" s="248"/>
      <c r="F12" s="248"/>
      <c r="G12" s="248"/>
      <c r="H12" s="248"/>
      <c r="I12" s="248"/>
      <c r="J12" s="248"/>
      <c r="K12" s="248"/>
      <c r="L12" s="248"/>
      <c r="M12" s="248"/>
      <c r="N12" s="248"/>
    </row>
    <row r="13" spans="1:14" ht="15.75" thickBot="1" x14ac:dyDescent="0.3">
      <c r="A13" s="237" t="s">
        <v>586</v>
      </c>
      <c r="B13" s="238" t="s">
        <v>587</v>
      </c>
      <c r="C13" s="249"/>
      <c r="D13" s="248"/>
      <c r="E13" s="248"/>
      <c r="F13" s="248"/>
      <c r="G13" s="248"/>
      <c r="H13" s="248"/>
      <c r="I13" s="248"/>
      <c r="J13" s="248"/>
      <c r="K13" s="248"/>
      <c r="L13" s="248"/>
      <c r="M13" s="248"/>
      <c r="N13" s="248"/>
    </row>
    <row r="14" spans="1:14" ht="15.75" thickBot="1" x14ac:dyDescent="0.3">
      <c r="A14" s="237" t="s">
        <v>588</v>
      </c>
      <c r="B14" s="238" t="s">
        <v>589</v>
      </c>
      <c r="C14" s="249"/>
      <c r="D14" s="248"/>
      <c r="E14" s="248"/>
      <c r="F14" s="248"/>
      <c r="G14" s="248"/>
      <c r="H14" s="248"/>
      <c r="I14" s="248"/>
      <c r="J14" s="248"/>
      <c r="K14" s="248"/>
      <c r="L14" s="248"/>
      <c r="M14" s="248"/>
      <c r="N14" s="248"/>
    </row>
    <row r="15" spans="1:14" ht="15.75" thickBot="1" x14ac:dyDescent="0.3">
      <c r="A15" s="237" t="s">
        <v>590</v>
      </c>
      <c r="B15" s="238" t="s">
        <v>591</v>
      </c>
      <c r="C15" s="249"/>
      <c r="D15" s="248"/>
      <c r="E15" s="248"/>
      <c r="F15" s="248"/>
      <c r="G15" s="248"/>
      <c r="H15" s="248"/>
      <c r="I15" s="248"/>
      <c r="J15" s="248"/>
      <c r="K15" s="248"/>
      <c r="L15" s="248"/>
      <c r="M15" s="248"/>
      <c r="N15" s="248"/>
    </row>
    <row r="16" spans="1:14" ht="15.75" thickBot="1" x14ac:dyDescent="0.3">
      <c r="A16" s="237" t="s">
        <v>592</v>
      </c>
      <c r="B16" s="238" t="s">
        <v>627</v>
      </c>
      <c r="C16" s="249"/>
      <c r="D16" s="248"/>
      <c r="E16" s="248"/>
      <c r="F16" s="248"/>
      <c r="G16" s="248"/>
      <c r="H16" s="248"/>
      <c r="I16" s="248"/>
      <c r="J16" s="248"/>
      <c r="K16" s="248"/>
      <c r="L16" s="248"/>
      <c r="M16" s="248"/>
      <c r="N16" s="248"/>
    </row>
    <row r="17" spans="1:14" ht="15.75" thickBot="1" x14ac:dyDescent="0.3">
      <c r="A17" s="237" t="s">
        <v>594</v>
      </c>
      <c r="B17" s="238" t="s">
        <v>595</v>
      </c>
      <c r="C17" s="249"/>
      <c r="D17" s="248"/>
      <c r="E17" s="248"/>
      <c r="F17" s="248"/>
      <c r="G17" s="248"/>
      <c r="H17" s="248"/>
      <c r="I17" s="248"/>
      <c r="J17" s="248"/>
      <c r="K17" s="248"/>
      <c r="L17" s="248"/>
      <c r="M17" s="248"/>
      <c r="N17" s="248"/>
    </row>
    <row r="18" spans="1:14" ht="15.75" thickBot="1" x14ac:dyDescent="0.3">
      <c r="A18" s="240" t="s">
        <v>596</v>
      </c>
      <c r="B18" s="236" t="s">
        <v>597</v>
      </c>
      <c r="C18" s="249"/>
      <c r="D18" s="248"/>
      <c r="E18" s="248"/>
      <c r="F18" s="248"/>
      <c r="G18" s="248"/>
      <c r="H18" s="248"/>
      <c r="I18" s="248"/>
      <c r="J18" s="248"/>
      <c r="K18" s="248"/>
      <c r="L18" s="248"/>
      <c r="M18" s="248"/>
      <c r="N18" s="248"/>
    </row>
    <row r="19" spans="1:14" ht="15.75" thickBot="1" x14ac:dyDescent="0.3">
      <c r="A19" s="237" t="s">
        <v>598</v>
      </c>
      <c r="B19" s="238" t="s">
        <v>583</v>
      </c>
      <c r="C19" s="249"/>
      <c r="D19" s="248"/>
      <c r="E19" s="248"/>
      <c r="F19" s="248"/>
      <c r="G19" s="248"/>
      <c r="H19" s="248"/>
      <c r="I19" s="248"/>
      <c r="J19" s="248"/>
      <c r="K19" s="248"/>
      <c r="L19" s="248"/>
      <c r="M19" s="248"/>
      <c r="N19" s="248"/>
    </row>
    <row r="20" spans="1:14" ht="15.75" thickBot="1" x14ac:dyDescent="0.3">
      <c r="A20" s="237" t="s">
        <v>599</v>
      </c>
      <c r="B20" s="238" t="s">
        <v>585</v>
      </c>
      <c r="C20" s="249"/>
      <c r="D20" s="248"/>
      <c r="E20" s="248"/>
      <c r="F20" s="248"/>
      <c r="G20" s="248"/>
      <c r="H20" s="248"/>
      <c r="I20" s="248"/>
      <c r="J20" s="248"/>
      <c r="K20" s="248"/>
      <c r="L20" s="248"/>
      <c r="M20" s="248"/>
      <c r="N20" s="248"/>
    </row>
    <row r="21" spans="1:14" ht="15.75" thickBot="1" x14ac:dyDescent="0.3">
      <c r="A21" s="237" t="s">
        <v>600</v>
      </c>
      <c r="B21" s="238" t="s">
        <v>587</v>
      </c>
      <c r="C21" s="249"/>
      <c r="D21" s="248"/>
      <c r="E21" s="248"/>
      <c r="F21" s="248"/>
      <c r="G21" s="248"/>
      <c r="H21" s="248"/>
      <c r="I21" s="248"/>
      <c r="J21" s="248"/>
      <c r="K21" s="248"/>
      <c r="L21" s="248"/>
      <c r="M21" s="248"/>
      <c r="N21" s="248"/>
    </row>
    <row r="22" spans="1:14" ht="15.75" thickBot="1" x14ac:dyDescent="0.3">
      <c r="A22" s="237" t="s">
        <v>601</v>
      </c>
      <c r="B22" s="238" t="s">
        <v>589</v>
      </c>
      <c r="C22" s="249"/>
      <c r="D22" s="248"/>
      <c r="E22" s="248"/>
      <c r="F22" s="248"/>
      <c r="G22" s="248"/>
      <c r="H22" s="248"/>
      <c r="I22" s="248"/>
      <c r="J22" s="248"/>
      <c r="K22" s="248"/>
      <c r="L22" s="248"/>
      <c r="M22" s="248"/>
      <c r="N22" s="248"/>
    </row>
    <row r="23" spans="1:14" ht="15.75" thickBot="1" x14ac:dyDescent="0.3">
      <c r="A23" s="237" t="s">
        <v>602</v>
      </c>
      <c r="B23" s="238" t="s">
        <v>591</v>
      </c>
      <c r="C23" s="249"/>
      <c r="D23" s="248"/>
      <c r="E23" s="248"/>
      <c r="F23" s="248"/>
      <c r="G23" s="248"/>
      <c r="H23" s="248"/>
      <c r="I23" s="248"/>
      <c r="J23" s="248"/>
      <c r="K23" s="248"/>
      <c r="L23" s="248"/>
      <c r="M23" s="248"/>
      <c r="N23" s="248"/>
    </row>
    <row r="24" spans="1:14" ht="15.75" thickBot="1" x14ac:dyDescent="0.3">
      <c r="A24" s="240" t="s">
        <v>603</v>
      </c>
      <c r="B24" s="236" t="s">
        <v>400</v>
      </c>
      <c r="C24" s="249"/>
      <c r="D24" s="250"/>
      <c r="E24" s="250"/>
      <c r="F24" s="248"/>
      <c r="G24" s="250"/>
      <c r="H24" s="250"/>
      <c r="I24" s="250"/>
      <c r="J24" s="250"/>
      <c r="K24" s="250"/>
      <c r="L24" s="250"/>
      <c r="M24" s="250"/>
      <c r="N24" s="248"/>
    </row>
    <row r="25" spans="1:14" ht="15.75" thickBot="1" x14ac:dyDescent="0.3">
      <c r="A25" s="237" t="s">
        <v>604</v>
      </c>
      <c r="B25" s="238" t="s">
        <v>583</v>
      </c>
      <c r="C25" s="249"/>
      <c r="D25" s="250"/>
      <c r="E25" s="250"/>
      <c r="F25" s="248"/>
      <c r="G25" s="250"/>
      <c r="H25" s="250"/>
      <c r="I25" s="250"/>
      <c r="J25" s="250"/>
      <c r="K25" s="250"/>
      <c r="L25" s="250"/>
      <c r="M25" s="250"/>
      <c r="N25" s="248"/>
    </row>
    <row r="26" spans="1:14" ht="15.75" thickBot="1" x14ac:dyDescent="0.3">
      <c r="A26" s="237" t="s">
        <v>605</v>
      </c>
      <c r="B26" s="238" t="s">
        <v>585</v>
      </c>
      <c r="C26" s="249"/>
      <c r="D26" s="250"/>
      <c r="E26" s="250"/>
      <c r="F26" s="248"/>
      <c r="G26" s="250"/>
      <c r="H26" s="250"/>
      <c r="I26" s="250"/>
      <c r="J26" s="250"/>
      <c r="K26" s="250"/>
      <c r="L26" s="250"/>
      <c r="M26" s="250"/>
      <c r="N26" s="248"/>
    </row>
    <row r="27" spans="1:14" ht="15.75" thickBot="1" x14ac:dyDescent="0.3">
      <c r="A27" s="237" t="s">
        <v>606</v>
      </c>
      <c r="B27" s="238" t="s">
        <v>587</v>
      </c>
      <c r="C27" s="249"/>
      <c r="D27" s="250"/>
      <c r="E27" s="250"/>
      <c r="F27" s="248"/>
      <c r="G27" s="250"/>
      <c r="H27" s="250"/>
      <c r="I27" s="250"/>
      <c r="J27" s="250"/>
      <c r="K27" s="250"/>
      <c r="L27" s="250"/>
      <c r="M27" s="250"/>
      <c r="N27" s="248"/>
    </row>
    <row r="28" spans="1:14" ht="15.75" thickBot="1" x14ac:dyDescent="0.3">
      <c r="A28" s="237" t="s">
        <v>607</v>
      </c>
      <c r="B28" s="238" t="s">
        <v>589</v>
      </c>
      <c r="C28" s="249"/>
      <c r="D28" s="250"/>
      <c r="E28" s="250"/>
      <c r="F28" s="248"/>
      <c r="G28" s="250"/>
      <c r="H28" s="250"/>
      <c r="I28" s="250"/>
      <c r="J28" s="250"/>
      <c r="K28" s="250"/>
      <c r="L28" s="250"/>
      <c r="M28" s="250"/>
      <c r="N28" s="248"/>
    </row>
    <row r="29" spans="1:14" ht="15.75" thickBot="1" x14ac:dyDescent="0.3">
      <c r="A29" s="237" t="s">
        <v>608</v>
      </c>
      <c r="B29" s="238" t="s">
        <v>591</v>
      </c>
      <c r="C29" s="249"/>
      <c r="D29" s="250"/>
      <c r="E29" s="250"/>
      <c r="F29" s="248"/>
      <c r="G29" s="250"/>
      <c r="H29" s="250"/>
      <c r="I29" s="250"/>
      <c r="J29" s="250"/>
      <c r="K29" s="250"/>
      <c r="L29" s="250"/>
      <c r="M29" s="250"/>
      <c r="N29" s="248"/>
    </row>
    <row r="30" spans="1:14" ht="15.75" thickBot="1" x14ac:dyDescent="0.3">
      <c r="A30" s="237" t="s">
        <v>609</v>
      </c>
      <c r="B30" s="238" t="s">
        <v>595</v>
      </c>
      <c r="C30" s="249"/>
      <c r="D30" s="250"/>
      <c r="E30" s="250"/>
      <c r="F30" s="248"/>
      <c r="G30" s="250"/>
      <c r="H30" s="250"/>
      <c r="I30" s="250"/>
      <c r="J30" s="250"/>
      <c r="K30" s="250"/>
      <c r="L30" s="250"/>
      <c r="M30" s="250"/>
      <c r="N30" s="248"/>
    </row>
    <row r="31" spans="1:14" ht="15.75" thickBot="1" x14ac:dyDescent="0.3">
      <c r="A31" s="242" t="s">
        <v>610</v>
      </c>
      <c r="B31" s="241" t="s">
        <v>38</v>
      </c>
      <c r="C31" s="249"/>
      <c r="D31" s="248"/>
      <c r="E31" s="248"/>
      <c r="F31" s="248"/>
      <c r="G31" s="248"/>
      <c r="H31" s="248"/>
      <c r="I31" s="248"/>
      <c r="J31" s="248"/>
      <c r="K31" s="248"/>
      <c r="L31" s="248"/>
      <c r="M31" s="248"/>
      <c r="N31" s="248"/>
    </row>
    <row r="33" spans="1:1" x14ac:dyDescent="0.25">
      <c r="A33" s="489" t="s">
        <v>848</v>
      </c>
    </row>
  </sheetData>
  <sheetProtection algorithmName="SHA-512" hashValue="citDcif+FyvcaQT9bUeAXo5yLQteISxVSvNpamhkuZXO8yTXqILhp/owAD5Eqkx1ox9rIaIcolPJIwWX116yzQ==" saltValue="yhfDcwlo+gef3m9t79D5ew==" spinCount="100000" sheet="1" objects="1" scenarios="1"/>
  <mergeCells count="17">
    <mergeCell ref="L6:L8"/>
    <mergeCell ref="M6:M8"/>
    <mergeCell ref="C4:N4"/>
    <mergeCell ref="C5:E5"/>
    <mergeCell ref="F5:N5"/>
    <mergeCell ref="F6:F8"/>
    <mergeCell ref="G6:G8"/>
    <mergeCell ref="N6:N8"/>
    <mergeCell ref="H6:H8"/>
    <mergeCell ref="I6:I8"/>
    <mergeCell ref="J6:J8"/>
    <mergeCell ref="K6:K8"/>
    <mergeCell ref="A6:A7"/>
    <mergeCell ref="B6:B7"/>
    <mergeCell ref="C6:C7"/>
    <mergeCell ref="D6:D8"/>
    <mergeCell ref="E6:E8"/>
  </mergeCells>
  <pageMargins left="0.70866141732283472" right="0.70866141732283472" top="0.74803149606299213" bottom="0.74803149606299213" header="0.31496062992125984" footer="0.31496062992125984"/>
  <pageSetup paperSize="9" scale="89" fitToHeight="0" orientation="landscape" r:id="rId1"/>
  <headerFooter>
    <oddHeader>&amp;CDA
Bilag 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3FDA-319E-4027-9469-33CC55FED03E}">
  <sheetPr>
    <tabColor theme="0" tint="-0.14999847407452621"/>
    <pageSetUpPr fitToPage="1"/>
  </sheetPr>
  <dimension ref="B2:I28"/>
  <sheetViews>
    <sheetView workbookViewId="0"/>
  </sheetViews>
  <sheetFormatPr defaultRowHeight="15" x14ac:dyDescent="0.25"/>
  <cols>
    <col min="2" max="2" width="4.7109375" customWidth="1"/>
    <col min="3" max="3" width="25" customWidth="1"/>
    <col min="4" max="8" width="14.42578125" customWidth="1"/>
    <col min="9" max="9" width="17.7109375" customWidth="1"/>
  </cols>
  <sheetData>
    <row r="2" spans="2:9" x14ac:dyDescent="0.25">
      <c r="B2" s="225" t="s">
        <v>632</v>
      </c>
    </row>
    <row r="3" spans="2:9" ht="16.5" thickBot="1" x14ac:dyDescent="0.3">
      <c r="B3" s="143"/>
      <c r="C3" s="226"/>
      <c r="D3" s="226"/>
      <c r="E3" s="655"/>
      <c r="F3" s="655"/>
      <c r="G3" s="226"/>
      <c r="H3" s="226"/>
      <c r="I3" s="226"/>
    </row>
    <row r="4" spans="2:9" ht="16.5" thickBot="1" x14ac:dyDescent="0.3">
      <c r="B4" s="227"/>
      <c r="C4" s="227"/>
      <c r="D4" s="228" t="s">
        <v>2</v>
      </c>
      <c r="E4" s="229" t="s">
        <v>3</v>
      </c>
      <c r="F4" s="229" t="s">
        <v>4</v>
      </c>
      <c r="G4" s="229" t="s">
        <v>100</v>
      </c>
      <c r="H4" s="229" t="s">
        <v>99</v>
      </c>
      <c r="I4" s="229" t="s">
        <v>115</v>
      </c>
    </row>
    <row r="5" spans="2:9" ht="19.5" customHeight="1" thickBot="1" x14ac:dyDescent="0.3">
      <c r="B5" s="227"/>
      <c r="C5" s="227"/>
      <c r="D5" s="638" t="s">
        <v>633</v>
      </c>
      <c r="E5" s="639"/>
      <c r="F5" s="639"/>
      <c r="G5" s="640"/>
      <c r="H5" s="653" t="s">
        <v>628</v>
      </c>
      <c r="I5" s="642" t="s">
        <v>629</v>
      </c>
    </row>
    <row r="6" spans="2:9" ht="49.5" customHeight="1" thickBot="1" x14ac:dyDescent="0.3">
      <c r="B6" s="251"/>
      <c r="C6" s="251"/>
      <c r="D6" s="253"/>
      <c r="E6" s="638" t="s">
        <v>630</v>
      </c>
      <c r="F6" s="653"/>
      <c r="G6" s="233" t="s">
        <v>634</v>
      </c>
      <c r="H6" s="656"/>
      <c r="I6" s="648"/>
    </row>
    <row r="7" spans="2:9" ht="15.75" x14ac:dyDescent="0.25">
      <c r="B7" s="227"/>
      <c r="C7" s="227"/>
      <c r="D7" s="252"/>
      <c r="E7" s="658"/>
      <c r="F7" s="642" t="s">
        <v>617</v>
      </c>
      <c r="G7" s="658"/>
      <c r="H7" s="656"/>
      <c r="I7" s="648"/>
    </row>
    <row r="8" spans="2:9" ht="16.5" thickBot="1" x14ac:dyDescent="0.3">
      <c r="B8" s="227"/>
      <c r="C8" s="227"/>
      <c r="D8" s="254"/>
      <c r="E8" s="659"/>
      <c r="F8" s="649"/>
      <c r="G8" s="660"/>
      <c r="H8" s="657"/>
      <c r="I8" s="643"/>
    </row>
    <row r="9" spans="2:9" ht="15.75" thickBot="1" x14ac:dyDescent="0.3">
      <c r="B9" s="234" t="s">
        <v>335</v>
      </c>
      <c r="C9" s="235" t="s">
        <v>635</v>
      </c>
      <c r="D9" s="301">
        <f>1384+94220</f>
        <v>95604</v>
      </c>
      <c r="E9" s="301">
        <v>30388</v>
      </c>
      <c r="F9" s="301">
        <f>+E9</f>
        <v>30388</v>
      </c>
      <c r="G9" s="301">
        <f>+D9</f>
        <v>95604</v>
      </c>
      <c r="H9" s="301">
        <f>818+15176</f>
        <v>15994</v>
      </c>
      <c r="I9" s="301"/>
    </row>
    <row r="10" spans="2:9" ht="15.75" thickBot="1" x14ac:dyDescent="0.3">
      <c r="B10" s="255" t="s">
        <v>337</v>
      </c>
      <c r="C10" s="236" t="s">
        <v>636</v>
      </c>
      <c r="D10" s="301"/>
      <c r="E10" s="301"/>
      <c r="F10" s="301"/>
      <c r="G10" s="301"/>
      <c r="H10" s="301"/>
      <c r="I10" s="301"/>
    </row>
    <row r="11" spans="2:9" ht="15.75" thickBot="1" x14ac:dyDescent="0.3">
      <c r="B11" s="255" t="s">
        <v>584</v>
      </c>
      <c r="C11" s="236" t="s">
        <v>637</v>
      </c>
      <c r="D11" s="301">
        <v>61230</v>
      </c>
      <c r="E11" s="301">
        <v>12401</v>
      </c>
      <c r="F11" s="301">
        <f>+E11</f>
        <v>12401</v>
      </c>
      <c r="G11" s="301">
        <f>+D11</f>
        <v>61230</v>
      </c>
      <c r="H11" s="301">
        <v>6350</v>
      </c>
      <c r="I11" s="301"/>
    </row>
    <row r="12" spans="2:9" ht="15.75" thickBot="1" x14ac:dyDescent="0.3">
      <c r="B12" s="255" t="s">
        <v>586</v>
      </c>
      <c r="C12" s="236" t="s">
        <v>638</v>
      </c>
      <c r="D12" s="301">
        <v>13551</v>
      </c>
      <c r="E12" s="301"/>
      <c r="F12" s="301"/>
      <c r="G12" s="301">
        <f>+D12</f>
        <v>13551</v>
      </c>
      <c r="H12" s="301">
        <v>28</v>
      </c>
      <c r="I12" s="301"/>
    </row>
    <row r="13" spans="2:9" ht="15.75" thickBot="1" x14ac:dyDescent="0.3">
      <c r="B13" s="255" t="s">
        <v>588</v>
      </c>
      <c r="C13" s="236" t="s">
        <v>639</v>
      </c>
      <c r="D13" s="301"/>
      <c r="E13" s="301"/>
      <c r="F13" s="301"/>
      <c r="G13" s="301"/>
      <c r="H13" s="301"/>
      <c r="I13" s="301"/>
    </row>
    <row r="14" spans="2:9" ht="15.75" thickBot="1" x14ac:dyDescent="0.3">
      <c r="B14" s="255" t="s">
        <v>590</v>
      </c>
      <c r="C14" s="236" t="s">
        <v>640</v>
      </c>
      <c r="D14" s="301">
        <f>193+7589+107731</f>
        <v>115513</v>
      </c>
      <c r="E14" s="301">
        <f>193+16157</f>
        <v>16350</v>
      </c>
      <c r="F14" s="301">
        <f>+E14</f>
        <v>16350</v>
      </c>
      <c r="G14" s="301">
        <f t="shared" ref="G14:G18" si="0">+D14</f>
        <v>115513</v>
      </c>
      <c r="H14" s="301">
        <f>190+40+4466</f>
        <v>4696</v>
      </c>
      <c r="I14" s="301"/>
    </row>
    <row r="15" spans="2:9" ht="15.75" thickBot="1" x14ac:dyDescent="0.3">
      <c r="B15" s="255" t="s">
        <v>592</v>
      </c>
      <c r="C15" s="236" t="s">
        <v>641</v>
      </c>
      <c r="D15" s="301">
        <v>155275</v>
      </c>
      <c r="E15" s="301">
        <v>18160</v>
      </c>
      <c r="F15" s="301">
        <f>+E15</f>
        <v>18160</v>
      </c>
      <c r="G15" s="301">
        <f t="shared" si="0"/>
        <v>155275</v>
      </c>
      <c r="H15" s="301">
        <v>8995</v>
      </c>
      <c r="I15" s="301"/>
    </row>
    <row r="16" spans="2:9" ht="15.75" thickBot="1" x14ac:dyDescent="0.3">
      <c r="B16" s="255" t="s">
        <v>594</v>
      </c>
      <c r="C16" s="236" t="s">
        <v>642</v>
      </c>
      <c r="D16" s="301">
        <v>341184</v>
      </c>
      <c r="E16" s="301">
        <v>16681</v>
      </c>
      <c r="F16" s="301">
        <f>+E16</f>
        <v>16681</v>
      </c>
      <c r="G16" s="301">
        <f t="shared" si="0"/>
        <v>341184</v>
      </c>
      <c r="H16" s="301">
        <v>5817</v>
      </c>
      <c r="I16" s="301"/>
    </row>
    <row r="17" spans="2:9" ht="21.75" thickBot="1" x14ac:dyDescent="0.3">
      <c r="B17" s="240" t="s">
        <v>596</v>
      </c>
      <c r="C17" s="236" t="s">
        <v>643</v>
      </c>
      <c r="D17" s="301">
        <v>23342</v>
      </c>
      <c r="E17" s="301">
        <v>640</v>
      </c>
      <c r="F17" s="301">
        <f>+E17</f>
        <v>640</v>
      </c>
      <c r="G17" s="301">
        <f t="shared" si="0"/>
        <v>23342</v>
      </c>
      <c r="H17" s="301">
        <v>1032</v>
      </c>
      <c r="I17" s="301"/>
    </row>
    <row r="18" spans="2:9" ht="15.75" thickBot="1" x14ac:dyDescent="0.3">
      <c r="B18" s="255" t="s">
        <v>598</v>
      </c>
      <c r="C18" s="236" t="s">
        <v>644</v>
      </c>
      <c r="D18" s="301">
        <v>5544</v>
      </c>
      <c r="E18" s="301">
        <v>3419</v>
      </c>
      <c r="F18" s="301">
        <f>+E18</f>
        <v>3419</v>
      </c>
      <c r="G18" s="301">
        <f t="shared" si="0"/>
        <v>5544</v>
      </c>
      <c r="H18" s="301">
        <v>2137</v>
      </c>
      <c r="I18" s="301"/>
    </row>
    <row r="19" spans="2:9" ht="21.75" thickBot="1" x14ac:dyDescent="0.3">
      <c r="B19" s="255" t="s">
        <v>599</v>
      </c>
      <c r="C19" s="236" t="s">
        <v>645</v>
      </c>
      <c r="D19" s="301"/>
      <c r="E19" s="425"/>
      <c r="F19" s="300"/>
      <c r="G19" s="301"/>
      <c r="H19" s="301"/>
      <c r="I19" s="301"/>
    </row>
    <row r="20" spans="2:9" ht="21.75" thickBot="1" x14ac:dyDescent="0.3">
      <c r="B20" s="255" t="s">
        <v>600</v>
      </c>
      <c r="C20" s="236" t="s">
        <v>646</v>
      </c>
      <c r="D20" s="301">
        <f>61245+136018</f>
        <v>197263</v>
      </c>
      <c r="E20" s="301">
        <v>16931</v>
      </c>
      <c r="F20" s="301">
        <f>+E20</f>
        <v>16931</v>
      </c>
      <c r="G20" s="301">
        <f>+D20</f>
        <v>197263</v>
      </c>
      <c r="H20" s="301">
        <f>745+7387</f>
        <v>8132</v>
      </c>
      <c r="I20" s="301"/>
    </row>
    <row r="21" spans="2:9" ht="21.75" thickBot="1" x14ac:dyDescent="0.3">
      <c r="B21" s="255" t="s">
        <v>601</v>
      </c>
      <c r="C21" s="236" t="s">
        <v>647</v>
      </c>
      <c r="D21" s="301">
        <v>884</v>
      </c>
      <c r="E21" s="301"/>
      <c r="F21" s="301"/>
      <c r="G21" s="301">
        <f>+D21</f>
        <v>884</v>
      </c>
      <c r="H21" s="301">
        <v>38</v>
      </c>
      <c r="I21" s="301"/>
    </row>
    <row r="22" spans="2:9" ht="21.75" thickBot="1" x14ac:dyDescent="0.3">
      <c r="B22" s="255" t="s">
        <v>602</v>
      </c>
      <c r="C22" s="236" t="s">
        <v>648</v>
      </c>
      <c r="D22" s="301"/>
      <c r="E22" s="301"/>
      <c r="F22" s="301"/>
      <c r="G22" s="301"/>
      <c r="H22" s="301"/>
      <c r="I22" s="301"/>
    </row>
    <row r="23" spans="2:9" ht="21.75" thickBot="1" x14ac:dyDescent="0.3">
      <c r="B23" s="240" t="s">
        <v>603</v>
      </c>
      <c r="C23" s="236" t="s">
        <v>649</v>
      </c>
      <c r="D23" s="301"/>
      <c r="E23" s="301"/>
      <c r="F23" s="301"/>
      <c r="G23" s="301"/>
      <c r="H23" s="301"/>
      <c r="I23" s="301"/>
    </row>
    <row r="24" spans="2:9" ht="15.75" thickBot="1" x14ac:dyDescent="0.3">
      <c r="B24" s="255" t="s">
        <v>604</v>
      </c>
      <c r="C24" s="236" t="s">
        <v>650</v>
      </c>
      <c r="D24" s="301"/>
      <c r="E24" s="301"/>
      <c r="F24" s="301"/>
      <c r="G24" s="301"/>
      <c r="H24" s="301"/>
      <c r="I24" s="301"/>
    </row>
    <row r="25" spans="2:9" ht="21.75" thickBot="1" x14ac:dyDescent="0.3">
      <c r="B25" s="255" t="s">
        <v>605</v>
      </c>
      <c r="C25" s="236" t="s">
        <v>651</v>
      </c>
      <c r="D25" s="301"/>
      <c r="E25" s="301"/>
      <c r="F25" s="301"/>
      <c r="G25" s="301"/>
      <c r="H25" s="301"/>
      <c r="I25" s="301"/>
    </row>
    <row r="26" spans="2:9" ht="15.75" thickBot="1" x14ac:dyDescent="0.3">
      <c r="B26" s="255" t="s">
        <v>606</v>
      </c>
      <c r="C26" s="236" t="s">
        <v>652</v>
      </c>
      <c r="D26" s="301"/>
      <c r="E26" s="301"/>
      <c r="F26" s="301"/>
      <c r="G26" s="301"/>
      <c r="H26" s="301"/>
      <c r="I26" s="301"/>
    </row>
    <row r="27" spans="2:9" ht="15.75" thickBot="1" x14ac:dyDescent="0.3">
      <c r="B27" s="255" t="s">
        <v>607</v>
      </c>
      <c r="C27" s="236" t="s">
        <v>653</v>
      </c>
      <c r="D27" s="301">
        <f>131667+2043</f>
        <v>133710</v>
      </c>
      <c r="E27" s="301">
        <f>1784+353</f>
        <v>2137</v>
      </c>
      <c r="F27" s="301">
        <f>+E27</f>
        <v>2137</v>
      </c>
      <c r="G27" s="301">
        <f>+D27</f>
        <v>133710</v>
      </c>
      <c r="H27" s="301">
        <f>8060+16</f>
        <v>8076</v>
      </c>
      <c r="I27" s="301"/>
    </row>
    <row r="28" spans="2:9" ht="15.75" thickBot="1" x14ac:dyDescent="0.3">
      <c r="B28" s="256" t="s">
        <v>608</v>
      </c>
      <c r="C28" s="241" t="s">
        <v>38</v>
      </c>
      <c r="D28" s="426">
        <f>SUM(D9:D27)</f>
        <v>1143100</v>
      </c>
      <c r="E28" s="426">
        <f>SUM(E9:E27)</f>
        <v>117107</v>
      </c>
      <c r="F28" s="426">
        <f>SUM(F9:F27)</f>
        <v>117107</v>
      </c>
      <c r="G28" s="426">
        <f>SUM(G9:G27)</f>
        <v>1143100</v>
      </c>
      <c r="H28" s="426">
        <f>SUM(H9:H27)</f>
        <v>61295</v>
      </c>
      <c r="I28" s="426"/>
    </row>
  </sheetData>
  <sheetProtection algorithmName="SHA-512" hashValue="0a4VUIbVWBlCopCR42MtI0lC3MDJ0hyySHh4b+odOqd2vIJ3/cpdTARkTweq7SI+AFrBiamHIpYpT7FmQ8y0HA==" saltValue="KdhI21UnIvPkfuBiBeYXcw==" spinCount="100000" sheet="1" objects="1" scenarios="1"/>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6" fitToWidth="0" orientation="landscape" r:id="rId1"/>
  <headerFooter>
    <oddHeader>&amp;CDA
Bilag XV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9A5F7-50AE-4D72-8FA3-3B7DCCB634AC}">
  <sheetPr>
    <tabColor theme="0" tint="-0.14999847407452621"/>
    <pageSetUpPr fitToPage="1"/>
  </sheetPr>
  <dimension ref="A2:P76"/>
  <sheetViews>
    <sheetView workbookViewId="0">
      <selection activeCell="C30" sqref="C30"/>
    </sheetView>
  </sheetViews>
  <sheetFormatPr defaultRowHeight="15" x14ac:dyDescent="0.25"/>
  <cols>
    <col min="1" max="1" width="180" bestFit="1" customWidth="1"/>
    <col min="2" max="2" width="3.85546875" customWidth="1"/>
  </cols>
  <sheetData>
    <row r="2" spans="1:3" ht="26.25" x14ac:dyDescent="0.4">
      <c r="A2" s="29" t="s">
        <v>912</v>
      </c>
    </row>
    <row r="3" spans="1:3" x14ac:dyDescent="0.25">
      <c r="A3" s="28" t="s">
        <v>102</v>
      </c>
    </row>
    <row r="5" spans="1:3" x14ac:dyDescent="0.25">
      <c r="C5" s="26" t="s">
        <v>868</v>
      </c>
    </row>
    <row r="6" spans="1:3" x14ac:dyDescent="0.25">
      <c r="A6" s="438" t="s">
        <v>849</v>
      </c>
      <c r="C6" s="490" t="s">
        <v>863</v>
      </c>
    </row>
    <row r="7" spans="1:3" x14ac:dyDescent="0.25">
      <c r="A7" s="439" t="s">
        <v>850</v>
      </c>
      <c r="C7" s="490" t="s">
        <v>869</v>
      </c>
    </row>
    <row r="8" spans="1:3" x14ac:dyDescent="0.25">
      <c r="A8" s="441" t="s">
        <v>851</v>
      </c>
      <c r="C8" s="492" t="s">
        <v>870</v>
      </c>
    </row>
    <row r="9" spans="1:3" x14ac:dyDescent="0.25">
      <c r="A9" s="441" t="s">
        <v>852</v>
      </c>
      <c r="C9" s="492" t="s">
        <v>871</v>
      </c>
    </row>
    <row r="10" spans="1:3" x14ac:dyDescent="0.25">
      <c r="A10" s="441" t="s">
        <v>854</v>
      </c>
      <c r="C10" s="492" t="s">
        <v>872</v>
      </c>
    </row>
    <row r="11" spans="1:3" x14ac:dyDescent="0.25">
      <c r="A11" s="439" t="s">
        <v>853</v>
      </c>
      <c r="C11" s="490" t="s">
        <v>873</v>
      </c>
    </row>
    <row r="12" spans="1:3" x14ac:dyDescent="0.25">
      <c r="A12" s="261" t="s">
        <v>660</v>
      </c>
      <c r="C12" s="490" t="s">
        <v>874</v>
      </c>
    </row>
    <row r="13" spans="1:3" x14ac:dyDescent="0.25">
      <c r="A13" s="261" t="s">
        <v>661</v>
      </c>
      <c r="C13" s="490" t="s">
        <v>875</v>
      </c>
    </row>
    <row r="14" spans="1:3" x14ac:dyDescent="0.25">
      <c r="A14" s="461" t="s">
        <v>855</v>
      </c>
      <c r="C14" s="490" t="s">
        <v>876</v>
      </c>
    </row>
    <row r="15" spans="1:3" x14ac:dyDescent="0.25">
      <c r="A15" s="461" t="s">
        <v>856</v>
      </c>
      <c r="C15" s="490" t="s">
        <v>877</v>
      </c>
    </row>
    <row r="16" spans="1:3" ht="15" customHeight="1" x14ac:dyDescent="0.25">
      <c r="A16" s="462" t="s">
        <v>857</v>
      </c>
      <c r="B16" s="298"/>
      <c r="C16" s="493" t="s">
        <v>878</v>
      </c>
    </row>
    <row r="17" spans="1:3" ht="15" customHeight="1" x14ac:dyDescent="0.25">
      <c r="A17" s="463" t="s">
        <v>858</v>
      </c>
      <c r="B17" s="298"/>
      <c r="C17" s="492" t="s">
        <v>879</v>
      </c>
    </row>
    <row r="18" spans="1:3" x14ac:dyDescent="0.25">
      <c r="A18" s="463" t="s">
        <v>893</v>
      </c>
      <c r="C18" s="492" t="s">
        <v>880</v>
      </c>
    </row>
    <row r="19" spans="1:3" x14ac:dyDescent="0.25">
      <c r="A19" s="441" t="s">
        <v>894</v>
      </c>
      <c r="C19" s="492" t="s">
        <v>881</v>
      </c>
    </row>
    <row r="20" spans="1:3" x14ac:dyDescent="0.25">
      <c r="A20" s="441" t="s">
        <v>895</v>
      </c>
      <c r="C20" s="492" t="s">
        <v>882</v>
      </c>
    </row>
    <row r="21" spans="1:3" x14ac:dyDescent="0.25">
      <c r="A21" s="441" t="s">
        <v>896</v>
      </c>
      <c r="C21" s="492" t="s">
        <v>883</v>
      </c>
    </row>
    <row r="22" spans="1:3" x14ac:dyDescent="0.25">
      <c r="A22" s="441" t="s">
        <v>897</v>
      </c>
      <c r="C22" s="492" t="s">
        <v>884</v>
      </c>
    </row>
    <row r="23" spans="1:3" s="307" customFormat="1" x14ac:dyDescent="0.25">
      <c r="A23" s="464" t="s">
        <v>859</v>
      </c>
      <c r="C23" s="494" t="s">
        <v>885</v>
      </c>
    </row>
    <row r="24" spans="1:3" s="307" customFormat="1" x14ac:dyDescent="0.25">
      <c r="A24" s="439" t="s">
        <v>860</v>
      </c>
      <c r="C24" s="490" t="s">
        <v>886</v>
      </c>
    </row>
    <row r="25" spans="1:3" s="307" customFormat="1" x14ac:dyDescent="0.25">
      <c r="A25" s="439" t="s">
        <v>861</v>
      </c>
      <c r="C25" s="490" t="s">
        <v>887</v>
      </c>
    </row>
    <row r="26" spans="1:3" s="307" customFormat="1" x14ac:dyDescent="0.25">
      <c r="A26" s="463" t="s">
        <v>862</v>
      </c>
      <c r="C26" s="492" t="s">
        <v>888</v>
      </c>
    </row>
    <row r="27" spans="1:3" s="307" customFormat="1" x14ac:dyDescent="0.25">
      <c r="A27" s="465" t="s">
        <v>864</v>
      </c>
      <c r="C27" s="493" t="s">
        <v>889</v>
      </c>
    </row>
    <row r="28" spans="1:3" x14ac:dyDescent="0.25">
      <c r="A28" s="438" t="s">
        <v>865</v>
      </c>
      <c r="C28" s="490" t="s">
        <v>890</v>
      </c>
    </row>
    <row r="29" spans="1:3" x14ac:dyDescent="0.25">
      <c r="A29" s="438" t="s">
        <v>866</v>
      </c>
      <c r="C29" s="490" t="s">
        <v>891</v>
      </c>
    </row>
    <row r="30" spans="1:3" x14ac:dyDescent="0.25">
      <c r="A30" s="456" t="s">
        <v>867</v>
      </c>
      <c r="C30" s="495" t="s">
        <v>892</v>
      </c>
    </row>
    <row r="33" spans="1:16" x14ac:dyDescent="0.25">
      <c r="A33" s="26" t="s">
        <v>825</v>
      </c>
    </row>
    <row r="34" spans="1:16" s="307" customFormat="1" x14ac:dyDescent="0.25">
      <c r="A34" s="307" t="s">
        <v>662</v>
      </c>
    </row>
    <row r="35" spans="1:16" s="307" customFormat="1" x14ac:dyDescent="0.25">
      <c r="A35" s="307" t="s">
        <v>663</v>
      </c>
    </row>
    <row r="36" spans="1:16" s="307" customFormat="1" x14ac:dyDescent="0.25">
      <c r="A36" s="307" t="s">
        <v>823</v>
      </c>
    </row>
    <row r="37" spans="1:16" s="307" customFormat="1" x14ac:dyDescent="0.25">
      <c r="A37" s="491" t="s">
        <v>179</v>
      </c>
    </row>
    <row r="38" spans="1:16" x14ac:dyDescent="0.25">
      <c r="A38" s="261" t="s">
        <v>830</v>
      </c>
    </row>
    <row r="39" spans="1:16" s="307" customFormat="1" x14ac:dyDescent="0.25">
      <c r="A39" s="299" t="s">
        <v>557</v>
      </c>
    </row>
    <row r="40" spans="1:16" s="307" customFormat="1" x14ac:dyDescent="0.25">
      <c r="A40" s="299" t="s">
        <v>558</v>
      </c>
    </row>
    <row r="41" spans="1:16" s="307" customFormat="1" x14ac:dyDescent="0.25">
      <c r="A41" s="299" t="s">
        <v>559</v>
      </c>
    </row>
    <row r="42" spans="1:16" s="307" customFormat="1" x14ac:dyDescent="0.25">
      <c r="A42" s="299" t="s">
        <v>560</v>
      </c>
    </row>
    <row r="43" spans="1:16" s="307" customFormat="1" x14ac:dyDescent="0.25">
      <c r="A43" s="299" t="s">
        <v>822</v>
      </c>
    </row>
    <row r="44" spans="1:16" s="307" customFormat="1" x14ac:dyDescent="0.25">
      <c r="A44" s="299" t="s">
        <v>562</v>
      </c>
    </row>
    <row r="45" spans="1:16" s="307" customFormat="1" x14ac:dyDescent="0.25">
      <c r="A45" s="299" t="s">
        <v>563</v>
      </c>
    </row>
    <row r="46" spans="1:16" s="307" customFormat="1" x14ac:dyDescent="0.25">
      <c r="A46" s="299" t="s">
        <v>564</v>
      </c>
    </row>
    <row r="47" spans="1:16" s="307" customFormat="1" x14ac:dyDescent="0.25">
      <c r="A47" s="439" t="s">
        <v>809</v>
      </c>
      <c r="B47" s="439"/>
      <c r="C47" s="439"/>
      <c r="D47" s="439"/>
      <c r="E47" s="439"/>
      <c r="F47" s="439"/>
      <c r="G47" s="439"/>
      <c r="H47" s="439"/>
      <c r="I47" s="439"/>
      <c r="J47" s="439"/>
      <c r="K47" s="439"/>
      <c r="L47" s="439"/>
      <c r="M47" s="439"/>
      <c r="N47" s="439"/>
      <c r="O47" s="439"/>
      <c r="P47" s="439"/>
    </row>
    <row r="48" spans="1:16" s="307" customFormat="1" x14ac:dyDescent="0.25">
      <c r="A48" s="438" t="s">
        <v>810</v>
      </c>
      <c r="B48" s="439"/>
      <c r="C48" s="439"/>
      <c r="D48" s="439"/>
      <c r="E48" s="439"/>
      <c r="F48" s="439"/>
      <c r="G48" s="439"/>
      <c r="H48" s="439"/>
      <c r="I48" s="439"/>
      <c r="J48" s="439"/>
      <c r="K48" s="439"/>
      <c r="L48" s="439"/>
      <c r="M48" s="439"/>
      <c r="N48" s="439"/>
      <c r="O48" s="439"/>
      <c r="P48" s="439"/>
    </row>
    <row r="49" spans="1:16" s="307" customFormat="1" x14ac:dyDescent="0.25">
      <c r="A49" s="439" t="s">
        <v>811</v>
      </c>
      <c r="B49" s="439"/>
      <c r="C49" s="439"/>
      <c r="D49" s="439"/>
      <c r="E49" s="439"/>
      <c r="F49" s="439"/>
      <c r="G49" s="439"/>
      <c r="H49" s="439"/>
      <c r="I49" s="439"/>
      <c r="J49" s="439"/>
      <c r="K49" s="439"/>
      <c r="L49" s="439"/>
      <c r="M49" s="439"/>
      <c r="N49" s="439"/>
      <c r="O49" s="439"/>
      <c r="P49" s="439"/>
    </row>
    <row r="50" spans="1:16" s="307" customFormat="1" x14ac:dyDescent="0.25">
      <c r="A50" s="439" t="s">
        <v>812</v>
      </c>
      <c r="B50" s="439"/>
      <c r="C50" s="439"/>
      <c r="D50" s="439"/>
      <c r="E50" s="439"/>
      <c r="F50" s="439"/>
      <c r="G50" s="439"/>
      <c r="H50" s="439"/>
      <c r="I50" s="439"/>
      <c r="J50" s="439"/>
      <c r="K50" s="439"/>
      <c r="L50" s="439"/>
      <c r="M50" s="439"/>
      <c r="N50" s="439"/>
      <c r="O50" s="439"/>
      <c r="P50" s="439"/>
    </row>
    <row r="51" spans="1:16" s="307" customFormat="1" x14ac:dyDescent="0.25">
      <c r="A51" s="439" t="s">
        <v>813</v>
      </c>
      <c r="B51" s="439"/>
      <c r="C51" s="439"/>
      <c r="D51" s="439"/>
      <c r="E51" s="439"/>
      <c r="F51" s="439"/>
      <c r="G51" s="439"/>
      <c r="H51" s="439"/>
      <c r="I51" s="439"/>
      <c r="J51" s="439"/>
      <c r="K51" s="439"/>
      <c r="L51" s="439"/>
      <c r="M51" s="439"/>
      <c r="N51" s="439"/>
      <c r="O51" s="439"/>
      <c r="P51" s="439"/>
    </row>
    <row r="52" spans="1:16" s="307" customFormat="1" x14ac:dyDescent="0.25">
      <c r="A52" s="448" t="s">
        <v>814</v>
      </c>
      <c r="B52" s="439"/>
      <c r="C52" s="439"/>
      <c r="D52" s="439"/>
      <c r="E52" s="439"/>
      <c r="F52" s="439"/>
      <c r="G52" s="439"/>
      <c r="H52" s="439"/>
      <c r="I52" s="439"/>
      <c r="J52" s="439"/>
      <c r="K52" s="439"/>
      <c r="L52" s="439"/>
      <c r="M52" s="439"/>
      <c r="N52" s="439"/>
      <c r="O52" s="439"/>
      <c r="P52" s="439"/>
    </row>
    <row r="53" spans="1:16" s="307" customFormat="1" x14ac:dyDescent="0.25">
      <c r="A53" s="439" t="s">
        <v>815</v>
      </c>
      <c r="B53" s="439"/>
      <c r="C53" s="439"/>
      <c r="D53" s="439"/>
      <c r="E53" s="439"/>
      <c r="F53" s="439"/>
      <c r="G53" s="439"/>
      <c r="H53" s="439"/>
      <c r="I53" s="439"/>
      <c r="J53" s="439"/>
      <c r="K53" s="439"/>
      <c r="L53" s="439"/>
      <c r="M53" s="439"/>
      <c r="N53" s="439"/>
      <c r="O53" s="439"/>
      <c r="P53" s="439"/>
    </row>
    <row r="54" spans="1:16" s="307" customFormat="1" x14ac:dyDescent="0.25">
      <c r="A54" s="439" t="s">
        <v>816</v>
      </c>
      <c r="B54" s="439"/>
      <c r="C54" s="439"/>
      <c r="D54" s="439"/>
      <c r="E54" s="439"/>
      <c r="F54" s="439"/>
      <c r="G54" s="439"/>
      <c r="H54" s="439"/>
      <c r="I54" s="439"/>
      <c r="J54" s="439"/>
      <c r="K54" s="439"/>
      <c r="L54" s="439"/>
      <c r="M54" s="439"/>
      <c r="N54" s="439"/>
      <c r="O54" s="439"/>
      <c r="P54" s="439"/>
    </row>
    <row r="55" spans="1:16" s="307" customFormat="1" x14ac:dyDescent="0.25">
      <c r="A55" s="482" t="s">
        <v>821</v>
      </c>
      <c r="B55" s="482"/>
      <c r="C55" s="482"/>
      <c r="D55" s="482"/>
      <c r="E55" s="482"/>
      <c r="F55" s="482"/>
      <c r="G55" s="482"/>
      <c r="H55" s="482"/>
      <c r="I55" s="482"/>
      <c r="J55" s="482"/>
      <c r="K55" s="482"/>
      <c r="L55" s="482"/>
      <c r="M55" s="482"/>
      <c r="N55" s="482"/>
      <c r="O55" s="482"/>
      <c r="P55" s="482"/>
    </row>
    <row r="56" spans="1:16" s="307" customFormat="1" x14ac:dyDescent="0.25">
      <c r="A56" s="438" t="s">
        <v>817</v>
      </c>
      <c r="B56" s="439"/>
      <c r="C56" s="439"/>
      <c r="D56" s="439"/>
      <c r="E56" s="439"/>
      <c r="F56" s="439"/>
      <c r="G56" s="439"/>
      <c r="H56" s="439"/>
      <c r="I56" s="439"/>
      <c r="J56" s="439"/>
      <c r="K56" s="439"/>
      <c r="L56" s="439"/>
      <c r="M56" s="439"/>
      <c r="N56" s="439"/>
      <c r="O56" s="439"/>
      <c r="P56" s="439"/>
    </row>
    <row r="57" spans="1:16" s="307" customFormat="1" x14ac:dyDescent="0.25">
      <c r="A57" s="438" t="s">
        <v>818</v>
      </c>
      <c r="B57" s="439"/>
      <c r="C57" s="439"/>
      <c r="D57" s="439"/>
      <c r="E57" s="439"/>
      <c r="F57" s="439"/>
      <c r="G57" s="439"/>
      <c r="H57" s="439"/>
      <c r="I57" s="439"/>
      <c r="J57" s="439"/>
      <c r="K57" s="439"/>
      <c r="L57" s="439"/>
      <c r="M57" s="439"/>
      <c r="N57" s="439"/>
      <c r="O57" s="439"/>
      <c r="P57" s="439"/>
    </row>
    <row r="58" spans="1:16" s="307" customFormat="1" x14ac:dyDescent="0.25">
      <c r="A58" s="438" t="s">
        <v>819</v>
      </c>
      <c r="B58" s="439"/>
      <c r="C58" s="439"/>
      <c r="D58" s="439"/>
      <c r="E58" s="439"/>
      <c r="F58" s="439"/>
      <c r="G58" s="439"/>
      <c r="H58" s="439"/>
      <c r="I58" s="439"/>
      <c r="J58" s="439"/>
      <c r="K58" s="439"/>
      <c r="L58" s="439"/>
      <c r="M58" s="439"/>
      <c r="N58" s="439"/>
      <c r="O58" s="439"/>
      <c r="P58" s="439"/>
    </row>
    <row r="59" spans="1:16" s="307" customFormat="1" x14ac:dyDescent="0.25">
      <c r="A59" s="438" t="s">
        <v>820</v>
      </c>
      <c r="B59" s="439"/>
      <c r="C59" s="439"/>
      <c r="D59" s="439"/>
      <c r="E59" s="439"/>
      <c r="F59" s="439"/>
      <c r="G59" s="439"/>
      <c r="H59" s="439"/>
      <c r="I59" s="439"/>
      <c r="J59" s="439"/>
      <c r="K59" s="439"/>
      <c r="L59" s="439"/>
      <c r="M59" s="439"/>
      <c r="N59" s="439"/>
      <c r="O59" s="439"/>
      <c r="P59" s="439"/>
    </row>
    <row r="60" spans="1:16" s="439" customFormat="1" x14ac:dyDescent="0.25">
      <c r="A60" s="440" t="s">
        <v>703</v>
      </c>
    </row>
    <row r="61" spans="1:16" s="439" customFormat="1" x14ac:dyDescent="0.25">
      <c r="A61" s="441" t="s">
        <v>704</v>
      </c>
    </row>
    <row r="62" spans="1:16" s="439" customFormat="1" x14ac:dyDescent="0.25">
      <c r="A62" s="438" t="s">
        <v>705</v>
      </c>
    </row>
    <row r="63" spans="1:16" x14ac:dyDescent="0.25">
      <c r="A63" s="299" t="s">
        <v>706</v>
      </c>
    </row>
    <row r="64" spans="1:16" x14ac:dyDescent="0.25">
      <c r="A64" s="2" t="s">
        <v>824</v>
      </c>
    </row>
    <row r="65" spans="1:1" x14ac:dyDescent="0.25">
      <c r="A65" s="307" t="s">
        <v>707</v>
      </c>
    </row>
    <row r="66" spans="1:1" x14ac:dyDescent="0.25">
      <c r="A66" s="307" t="s">
        <v>708</v>
      </c>
    </row>
    <row r="67" spans="1:1" x14ac:dyDescent="0.25">
      <c r="A67" t="s">
        <v>826</v>
      </c>
    </row>
    <row r="68" spans="1:1" x14ac:dyDescent="0.25">
      <c r="A68" s="422" t="s">
        <v>711</v>
      </c>
    </row>
    <row r="69" spans="1:1" x14ac:dyDescent="0.25">
      <c r="A69" s="422" t="s">
        <v>725</v>
      </c>
    </row>
    <row r="70" spans="1:1" x14ac:dyDescent="0.25">
      <c r="A70" s="307" t="s">
        <v>712</v>
      </c>
    </row>
    <row r="71" spans="1:1" x14ac:dyDescent="0.25">
      <c r="A71" s="307" t="s">
        <v>713</v>
      </c>
    </row>
    <row r="72" spans="1:1" x14ac:dyDescent="0.25">
      <c r="A72" s="2" t="s">
        <v>746</v>
      </c>
    </row>
    <row r="73" spans="1:1" x14ac:dyDescent="0.25">
      <c r="A73" s="2" t="s">
        <v>747</v>
      </c>
    </row>
    <row r="74" spans="1:1" x14ac:dyDescent="0.25">
      <c r="A74" s="422" t="s">
        <v>748</v>
      </c>
    </row>
    <row r="75" spans="1:1" x14ac:dyDescent="0.25">
      <c r="A75" s="456" t="s">
        <v>795</v>
      </c>
    </row>
    <row r="76" spans="1:1" x14ac:dyDescent="0.25">
      <c r="A76" s="457" t="s">
        <v>796</v>
      </c>
    </row>
  </sheetData>
  <sheetProtection algorithmName="SHA-512" hashValue="+0K//zNLG3c6gm5qxrLFrWtCHksBDUAQqfEEh/BdTQ2QVKBGHvJJIgMlTYpKgp49OpTaEqEIeKA3cqJXtIKw0w==" saltValue="qVBXUZTN4P+fFZUrmvVgKg==" spinCount="100000" sheet="1" objects="1" scenarios="1"/>
  <hyperlinks>
    <hyperlink ref="C6" location="'EU OV1'!A1" display="EU OV1" xr:uid="{CBD62E3E-AF27-462D-BE1A-B97C8D3568F6}"/>
    <hyperlink ref="C7" location="'EU KM1'!A1" display="EU KM1" xr:uid="{827E65F5-F40D-4AC2-A505-4E39A8AA0D7A}"/>
    <hyperlink ref="C8" location="'Skema EU LI1 '!A1" display="EU LI1" xr:uid="{B31DF12C-8FA7-4676-A9CA-A6BE841F513E}"/>
    <hyperlink ref="C9" location="'Skema EU LI2'!A1" display="EU LI2" xr:uid="{A90B1D40-87DE-444C-9E47-128653DAB8FC}"/>
    <hyperlink ref="C10" location="'Skema EU LI3'!A1" display="EU LI3" xr:uid="{938E45B5-017F-4F5D-874C-5A380E41E24D}"/>
    <hyperlink ref="C11" location="'Skema EU CC1'!A1" display="EU CC1" xr:uid="{1ADAA856-9318-4852-9C0C-097444915C09}"/>
    <hyperlink ref="C12" location="'EU CCyB1'!A1" display="EU-CCyB1" xr:uid="{68219629-868C-494B-BC85-F6F9856214C1}"/>
    <hyperlink ref="C13" location="'EU CCyB2'!A1" display="EU-CCyB2" xr:uid="{D024878B-3462-4C6C-AFF2-F6BAE85B2D83}"/>
    <hyperlink ref="C14" location="'EU LR1 - LRSum'!A1" display="EU LR1" xr:uid="{9BBB69D8-C56E-40FC-BFAE-F2FDDD3E8D1D}"/>
    <hyperlink ref="C15" location="'EU LR2 - LRCom'!A1" display="EU LR2" xr:uid="{5E952C89-AF38-482C-B0D7-95D025278195}"/>
    <hyperlink ref="C16" location="'EU LR3 - LRSpl'!A1" display="EU LR3" xr:uid="{69AF575E-4367-4B61-9CCD-60BF413D6E05}"/>
    <hyperlink ref="C17" location="'EU LIQ1'!A1" display="EU LIQ1" xr:uid="{AE55BD72-3C20-4751-B22F-BFD1455B0482}"/>
    <hyperlink ref="C18" location="'EU LIQ2'!A1" display="EU LIQ2" xr:uid="{3BCF3AF1-4C9E-4BB2-B496-B9CF01A2CBEE}"/>
    <hyperlink ref="C19" location="'Skema EU CR1'!A1" display="EU CR1" xr:uid="{720141F3-72E1-4887-87E5-ABAB593353BA}"/>
    <hyperlink ref="C20" location="'Skema EU CR1-A'!A1" display="EU CR1-A" xr:uid="{16BF044A-784A-46DF-B778-3585DFA3330B}"/>
    <hyperlink ref="C21" location="'Skema EU CQ3'!A1" display="EU CQ3" xr:uid="{392DBA15-C0E5-48C8-A15B-F19FFE08BCDB}"/>
    <hyperlink ref="C22" location="'Skema EU CQ5'!A1" display="EU CQ5" xr:uid="{D6D54D4F-B2F2-4662-B273-EB25FBCE7FC8}"/>
    <hyperlink ref="C23" location="'EU CR3'!A1" display="EU CR3" xr:uid="{36F541C3-D1BC-4331-B171-7F02D3441FF5}"/>
    <hyperlink ref="C24" location="'EU CR4'!A1" display="EU CR4" xr:uid="{4339E24D-B4A2-4082-AF7F-20D566F42A9A}"/>
    <hyperlink ref="C25" location="'EU CR5'!A1" display="EU CR5" xr:uid="{1E9C448C-920E-4945-8CA2-5213F61023FB}"/>
    <hyperlink ref="C26" location="'EU MR1'!A1" display="EU MR1" xr:uid="{D7DBF5EA-9EB8-4688-AA46-FCA63ED30B9A}"/>
    <hyperlink ref="C27" location="'Skema EU OR1'!A1" display="EU OR1" xr:uid="{8C8497E4-AE12-41BD-A540-F7C9BB024094}"/>
    <hyperlink ref="C28" location="'REM1'!A1" display="EU REM1" xr:uid="{A315FA0B-3D81-4889-90A5-9E534606F0D1}"/>
    <hyperlink ref="C29" location="'REM5'!A1" display="EU REM5" xr:uid="{91F0FD88-D6EC-4DEA-9F0B-7C8BC662B655}"/>
    <hyperlink ref="C30" location="'Skema EU AE1'!A1" display="EU AE1" xr:uid="{29A55B7C-DEF0-4D69-832B-3228A97D19D8}"/>
  </hyperlinks>
  <pageMargins left="0.70866141732283472" right="0.11811023622047245" top="0.74803149606299213" bottom="0.74803149606299213" header="0.31496062992125984" footer="0.31496062992125984"/>
  <pageSetup paperSize="9" scale="4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8B19C-F1D8-415B-B199-AEA23E926C1F}">
  <sheetPr>
    <tabColor theme="0" tint="-0.14999847407452621"/>
    <pageSetUpPr autoPageBreaks="0" fitToPage="1"/>
  </sheetPr>
  <dimension ref="A2:J16"/>
  <sheetViews>
    <sheetView workbookViewId="0"/>
  </sheetViews>
  <sheetFormatPr defaultColWidth="9.140625" defaultRowHeight="15" x14ac:dyDescent="0.25"/>
  <cols>
    <col min="2" max="2" width="6.28515625" customWidth="1"/>
    <col min="3" max="3" width="55" customWidth="1"/>
    <col min="4" max="4" width="19.28515625" customWidth="1"/>
    <col min="5" max="5" width="27" customWidth="1"/>
    <col min="6" max="6" width="23.7109375" customWidth="1"/>
    <col min="7" max="7" width="21.140625" customWidth="1"/>
    <col min="8" max="8" width="28.28515625" customWidth="1"/>
  </cols>
  <sheetData>
    <row r="2" spans="1:10" ht="16.5" x14ac:dyDescent="0.25">
      <c r="C2" s="309"/>
      <c r="D2" s="309"/>
      <c r="E2" s="309"/>
      <c r="F2" s="309"/>
      <c r="G2" s="309"/>
      <c r="H2" s="309"/>
      <c r="I2" s="309"/>
      <c r="J2" s="310"/>
    </row>
    <row r="3" spans="1:10" ht="21" customHeight="1" x14ac:dyDescent="0.35">
      <c r="A3" s="311"/>
      <c r="C3" s="312" t="s">
        <v>664</v>
      </c>
      <c r="D3" s="313"/>
      <c r="E3" s="313"/>
      <c r="F3" s="313"/>
      <c r="G3" s="313"/>
      <c r="H3" s="313"/>
      <c r="J3" s="310"/>
    </row>
    <row r="7" spans="1:10" ht="32.25" customHeight="1" x14ac:dyDescent="0.25">
      <c r="C7" s="314"/>
      <c r="D7" s="315" t="s">
        <v>665</v>
      </c>
      <c r="E7" s="316" t="s">
        <v>666</v>
      </c>
      <c r="F7" s="317"/>
      <c r="G7" s="317"/>
      <c r="H7" s="318"/>
      <c r="I7" s="310"/>
      <c r="J7" s="310"/>
    </row>
    <row r="8" spans="1:10" ht="32.25" customHeight="1" x14ac:dyDescent="0.25">
      <c r="C8" s="314"/>
      <c r="D8" s="319"/>
      <c r="E8" s="320"/>
      <c r="F8" s="315" t="s">
        <v>667</v>
      </c>
      <c r="G8" s="316" t="s">
        <v>668</v>
      </c>
      <c r="H8" s="321"/>
      <c r="I8" s="310"/>
      <c r="J8" s="310"/>
    </row>
    <row r="9" spans="1:10" ht="32.25" customHeight="1" x14ac:dyDescent="0.25">
      <c r="C9" s="314"/>
      <c r="D9" s="322"/>
      <c r="E9" s="323"/>
      <c r="F9" s="322"/>
      <c r="G9" s="323"/>
      <c r="H9" s="315" t="s">
        <v>669</v>
      </c>
      <c r="I9" s="310"/>
      <c r="J9" s="310"/>
    </row>
    <row r="10" spans="1:10" ht="14.25" customHeight="1" x14ac:dyDescent="0.25">
      <c r="C10" s="314"/>
      <c r="D10" s="324" t="s">
        <v>2</v>
      </c>
      <c r="E10" s="325" t="s">
        <v>3</v>
      </c>
      <c r="F10" s="324" t="s">
        <v>4</v>
      </c>
      <c r="G10" s="325" t="s">
        <v>100</v>
      </c>
      <c r="H10" s="324" t="s">
        <v>99</v>
      </c>
      <c r="I10" s="310"/>
      <c r="J10" s="310"/>
    </row>
    <row r="11" spans="1:10" ht="11.25" customHeight="1" x14ac:dyDescent="0.25">
      <c r="B11" s="324">
        <v>1</v>
      </c>
      <c r="C11" s="326" t="s">
        <v>582</v>
      </c>
      <c r="D11" s="429">
        <v>202918</v>
      </c>
      <c r="E11" s="429">
        <v>73994</v>
      </c>
      <c r="F11" s="429">
        <f>+E11</f>
        <v>73994</v>
      </c>
      <c r="G11" s="429"/>
      <c r="H11" s="430"/>
      <c r="I11" s="310"/>
      <c r="J11" s="310"/>
    </row>
    <row r="12" spans="1:10" ht="11.25" customHeight="1" x14ac:dyDescent="0.25">
      <c r="B12" s="324">
        <v>2</v>
      </c>
      <c r="C12" s="326" t="s">
        <v>670</v>
      </c>
      <c r="D12" s="429"/>
      <c r="E12" s="429"/>
      <c r="F12" s="429"/>
      <c r="G12" s="429"/>
      <c r="H12" s="431" t="s">
        <v>671</v>
      </c>
      <c r="I12" s="310"/>
      <c r="J12" s="310"/>
    </row>
    <row r="13" spans="1:10" ht="12" customHeight="1" x14ac:dyDescent="0.25">
      <c r="B13" s="324">
        <v>3</v>
      </c>
      <c r="C13" s="326" t="s">
        <v>38</v>
      </c>
      <c r="D13" s="429">
        <f>SUM(D11:D12)</f>
        <v>202918</v>
      </c>
      <c r="E13" s="429">
        <f>SUM(E11:E12)</f>
        <v>73994</v>
      </c>
      <c r="F13" s="429">
        <f>SUM(F11:F12)</f>
        <v>73994</v>
      </c>
      <c r="G13" s="273"/>
      <c r="H13" s="430"/>
      <c r="I13" s="310"/>
      <c r="J13" s="310"/>
    </row>
    <row r="14" spans="1:10" ht="16.5" x14ac:dyDescent="0.25">
      <c r="B14" s="324">
        <v>4</v>
      </c>
      <c r="C14" s="327" t="s">
        <v>672</v>
      </c>
      <c r="D14" s="432"/>
      <c r="E14" s="429"/>
      <c r="F14" s="429"/>
      <c r="G14" s="433"/>
      <c r="H14" s="430" t="s">
        <v>671</v>
      </c>
      <c r="I14" s="310"/>
      <c r="J14" s="310"/>
    </row>
    <row r="15" spans="1:10" ht="16.5" x14ac:dyDescent="0.25">
      <c r="B15" s="328" t="s">
        <v>455</v>
      </c>
      <c r="C15" s="327" t="s">
        <v>673</v>
      </c>
      <c r="D15" s="432"/>
      <c r="E15" s="429"/>
      <c r="F15" s="431"/>
      <c r="G15" s="431"/>
      <c r="H15" s="431"/>
      <c r="I15" s="310"/>
      <c r="J15" s="310"/>
    </row>
    <row r="16" spans="1:10" x14ac:dyDescent="0.25">
      <c r="C16" s="85"/>
    </row>
  </sheetData>
  <sheetProtection algorithmName="SHA-512" hashValue="yJY5F5GdjabWM5Vs8jDrq+lW8mmtmeuf0X6XzEPjPoXFkMLshpGaSkQik9xEqE4ZaxxgiuglupG0q3oc/XdxOg==" saltValue="5ybP6qUMeaee0SyZOX1elA==" spinCount="100000" sheet="1" objects="1" scenarios="1"/>
  <pageMargins left="0.70866141732283472" right="0.70866141732283472" top="0.74803149606299213" bottom="0.74803149606299213" header="0.31496062992125984" footer="0.31496062992125984"/>
  <pageSetup paperSize="9" scale="62" orientation="landscape" r:id="rId1"/>
  <headerFooter>
    <oddHeader>&amp;CDA
Bilag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F18B6-83D8-4368-90FD-89AAD7AD64DA}">
  <sheetPr>
    <tabColor theme="0" tint="-0.14999847407452621"/>
    <pageSetUpPr fitToPage="1"/>
  </sheetPr>
  <dimension ref="A1:H28"/>
  <sheetViews>
    <sheetView zoomScale="80" zoomScaleNormal="80" workbookViewId="0"/>
  </sheetViews>
  <sheetFormatPr defaultRowHeight="15" x14ac:dyDescent="0.25"/>
  <cols>
    <col min="1" max="1" width="4.42578125" customWidth="1"/>
    <col min="2" max="2" width="69.140625" customWidth="1"/>
    <col min="3" max="8" width="24.85546875" customWidth="1"/>
  </cols>
  <sheetData>
    <row r="1" spans="1:8" ht="18.75" x14ac:dyDescent="0.3">
      <c r="B1" s="73" t="s">
        <v>674</v>
      </c>
    </row>
    <row r="4" spans="1:8" x14ac:dyDescent="0.25">
      <c r="A4" s="329"/>
      <c r="B4" s="661" t="s">
        <v>676</v>
      </c>
      <c r="C4" s="662" t="s">
        <v>677</v>
      </c>
      <c r="D4" s="661"/>
      <c r="E4" s="663" t="s">
        <v>678</v>
      </c>
      <c r="F4" s="662"/>
      <c r="G4" s="664" t="s">
        <v>679</v>
      </c>
      <c r="H4" s="665"/>
    </row>
    <row r="5" spans="1:8" ht="30" x14ac:dyDescent="0.25">
      <c r="A5" s="330"/>
      <c r="B5" s="661"/>
      <c r="C5" s="331" t="s">
        <v>631</v>
      </c>
      <c r="D5" s="332" t="s">
        <v>400</v>
      </c>
      <c r="E5" s="331" t="s">
        <v>631</v>
      </c>
      <c r="F5" s="332" t="s">
        <v>400</v>
      </c>
      <c r="G5" s="9" t="s">
        <v>680</v>
      </c>
      <c r="H5" s="9" t="s">
        <v>681</v>
      </c>
    </row>
    <row r="6" spans="1:8" x14ac:dyDescent="0.25">
      <c r="A6" s="330"/>
      <c r="B6" s="661"/>
      <c r="C6" s="224" t="s">
        <v>2</v>
      </c>
      <c r="D6" s="223" t="s">
        <v>3</v>
      </c>
      <c r="E6" s="223" t="s">
        <v>4</v>
      </c>
      <c r="F6" s="223" t="s">
        <v>100</v>
      </c>
      <c r="G6" s="223" t="s">
        <v>99</v>
      </c>
      <c r="H6" s="223" t="s">
        <v>115</v>
      </c>
    </row>
    <row r="7" spans="1:8" x14ac:dyDescent="0.25">
      <c r="A7" s="333">
        <v>1</v>
      </c>
      <c r="B7" s="58" t="s">
        <v>682</v>
      </c>
      <c r="C7" s="434">
        <v>903333</v>
      </c>
      <c r="D7" s="435"/>
      <c r="E7" s="436">
        <v>903315</v>
      </c>
      <c r="F7" s="436"/>
      <c r="G7" s="435"/>
      <c r="H7" s="437">
        <f>+G7/(E7+F7)</f>
        <v>0</v>
      </c>
    </row>
    <row r="8" spans="1:8" x14ac:dyDescent="0.25">
      <c r="A8" s="333">
        <v>2</v>
      </c>
      <c r="B8" s="308" t="s">
        <v>683</v>
      </c>
      <c r="C8" s="434"/>
      <c r="D8" s="435"/>
      <c r="E8" s="436">
        <v>137</v>
      </c>
      <c r="F8" s="436"/>
      <c r="G8" s="435">
        <v>27</v>
      </c>
      <c r="H8" s="437">
        <f>+G8/(E8+F8)</f>
        <v>0.19708029197080293</v>
      </c>
    </row>
    <row r="9" spans="1:8" x14ac:dyDescent="0.25">
      <c r="A9" s="333">
        <v>3</v>
      </c>
      <c r="B9" s="308" t="s">
        <v>684</v>
      </c>
      <c r="C9" s="434">
        <v>1074</v>
      </c>
      <c r="D9" s="435">
        <v>9854</v>
      </c>
      <c r="E9" s="436">
        <v>20937</v>
      </c>
      <c r="F9" s="436">
        <v>7629</v>
      </c>
      <c r="G9" s="435">
        <v>5044</v>
      </c>
      <c r="H9" s="437">
        <f>+G9/(E9+F9)</f>
        <v>0.17657354897430511</v>
      </c>
    </row>
    <row r="10" spans="1:8" x14ac:dyDescent="0.25">
      <c r="A10" s="333">
        <v>4</v>
      </c>
      <c r="B10" s="308" t="s">
        <v>685</v>
      </c>
      <c r="C10" s="434"/>
      <c r="D10" s="435"/>
      <c r="E10" s="436"/>
      <c r="F10" s="436"/>
      <c r="G10" s="435"/>
      <c r="H10" s="435"/>
    </row>
    <row r="11" spans="1:8" x14ac:dyDescent="0.25">
      <c r="A11" s="333">
        <v>5</v>
      </c>
      <c r="B11" s="308" t="s">
        <v>686</v>
      </c>
      <c r="C11" s="434"/>
      <c r="D11" s="435"/>
      <c r="E11" s="436"/>
      <c r="F11" s="436"/>
      <c r="G11" s="435"/>
      <c r="H11" s="435"/>
    </row>
    <row r="12" spans="1:8" x14ac:dyDescent="0.25">
      <c r="A12" s="333">
        <v>6</v>
      </c>
      <c r="B12" s="308" t="s">
        <v>460</v>
      </c>
      <c r="C12" s="434">
        <v>35351</v>
      </c>
      <c r="D12" s="435"/>
      <c r="E12" s="436">
        <v>35350</v>
      </c>
      <c r="F12" s="436"/>
      <c r="G12" s="435">
        <v>7070</v>
      </c>
      <c r="H12" s="437">
        <f t="shared" ref="H12:H16" si="0">+G12/(E12+F12)</f>
        <v>0.2</v>
      </c>
    </row>
    <row r="13" spans="1:8" x14ac:dyDescent="0.25">
      <c r="A13" s="333">
        <v>7</v>
      </c>
      <c r="B13" s="308" t="s">
        <v>466</v>
      </c>
      <c r="C13" s="434">
        <v>250653</v>
      </c>
      <c r="D13" s="435">
        <v>76050</v>
      </c>
      <c r="E13" s="436">
        <v>207828</v>
      </c>
      <c r="F13" s="436">
        <v>50399</v>
      </c>
      <c r="G13" s="435">
        <v>217556</v>
      </c>
      <c r="H13" s="437">
        <f t="shared" si="0"/>
        <v>0.84249904154096977</v>
      </c>
    </row>
    <row r="14" spans="1:8" x14ac:dyDescent="0.25">
      <c r="A14" s="333">
        <v>8</v>
      </c>
      <c r="B14" s="308" t="s">
        <v>687</v>
      </c>
      <c r="C14" s="434">
        <v>1272163</v>
      </c>
      <c r="D14" s="435">
        <v>970429</v>
      </c>
      <c r="E14" s="436">
        <v>1205916</v>
      </c>
      <c r="F14" s="436">
        <v>590865</v>
      </c>
      <c r="G14" s="435">
        <v>1233335</v>
      </c>
      <c r="H14" s="437">
        <f t="shared" si="0"/>
        <v>0.6864136475174214</v>
      </c>
    </row>
    <row r="15" spans="1:8" x14ac:dyDescent="0.25">
      <c r="A15" s="333">
        <v>9</v>
      </c>
      <c r="B15" s="308" t="s">
        <v>462</v>
      </c>
      <c r="C15" s="434">
        <v>209674</v>
      </c>
      <c r="D15" s="435">
        <v>302063</v>
      </c>
      <c r="E15" s="436">
        <v>207975</v>
      </c>
      <c r="F15" s="436">
        <v>250118</v>
      </c>
      <c r="G15" s="435">
        <v>156736</v>
      </c>
      <c r="H15" s="437">
        <f t="shared" si="0"/>
        <v>0.34214886496846708</v>
      </c>
    </row>
    <row r="16" spans="1:8" x14ac:dyDescent="0.25">
      <c r="A16" s="333">
        <v>10</v>
      </c>
      <c r="B16" s="308" t="s">
        <v>468</v>
      </c>
      <c r="C16" s="434">
        <v>143957</v>
      </c>
      <c r="D16" s="435">
        <v>47415</v>
      </c>
      <c r="E16" s="436">
        <v>74164</v>
      </c>
      <c r="F16" s="436">
        <v>33425</v>
      </c>
      <c r="G16" s="435">
        <v>132419</v>
      </c>
      <c r="H16" s="437">
        <f t="shared" si="0"/>
        <v>1.2307856751154858</v>
      </c>
    </row>
    <row r="17" spans="1:8" x14ac:dyDescent="0.25">
      <c r="A17" s="333">
        <v>11</v>
      </c>
      <c r="B17" s="308" t="s">
        <v>688</v>
      </c>
      <c r="C17" s="434"/>
      <c r="D17" s="435"/>
      <c r="E17" s="436"/>
      <c r="F17" s="436"/>
      <c r="G17" s="435"/>
      <c r="H17" s="435"/>
    </row>
    <row r="18" spans="1:8" x14ac:dyDescent="0.25">
      <c r="A18" s="333">
        <v>12</v>
      </c>
      <c r="B18" s="308" t="s">
        <v>454</v>
      </c>
      <c r="C18" s="434"/>
      <c r="D18" s="435"/>
      <c r="E18" s="436"/>
      <c r="F18" s="436"/>
      <c r="G18" s="435"/>
      <c r="H18" s="435"/>
    </row>
    <row r="19" spans="1:8" x14ac:dyDescent="0.25">
      <c r="A19" s="333">
        <v>13</v>
      </c>
      <c r="B19" s="308" t="s">
        <v>689</v>
      </c>
      <c r="C19" s="434"/>
      <c r="D19" s="435"/>
      <c r="E19" s="435"/>
      <c r="F19" s="435"/>
      <c r="G19" s="435"/>
      <c r="H19" s="435"/>
    </row>
    <row r="20" spans="1:8" x14ac:dyDescent="0.25">
      <c r="A20" s="333">
        <v>14</v>
      </c>
      <c r="B20" s="308" t="s">
        <v>690</v>
      </c>
      <c r="C20" s="434"/>
      <c r="D20" s="435"/>
      <c r="E20" s="435"/>
      <c r="F20" s="435"/>
      <c r="G20" s="435"/>
      <c r="H20" s="435"/>
    </row>
    <row r="21" spans="1:8" x14ac:dyDescent="0.25">
      <c r="A21" s="333">
        <v>15</v>
      </c>
      <c r="B21" s="308" t="s">
        <v>691</v>
      </c>
      <c r="C21" s="434">
        <f>55271+2217</f>
        <v>57488</v>
      </c>
      <c r="D21" s="435"/>
      <c r="E21" s="435">
        <f>+C21</f>
        <v>57488</v>
      </c>
      <c r="F21" s="435"/>
      <c r="G21" s="435">
        <f>+E21</f>
        <v>57488</v>
      </c>
      <c r="H21" s="437">
        <f>+G21/(E21+F21)</f>
        <v>1</v>
      </c>
    </row>
    <row r="22" spans="1:8" x14ac:dyDescent="0.25">
      <c r="A22" s="333">
        <v>16</v>
      </c>
      <c r="B22" s="308" t="s">
        <v>692</v>
      </c>
      <c r="C22" s="434">
        <v>123221</v>
      </c>
      <c r="D22" s="435">
        <v>1247</v>
      </c>
      <c r="E22" s="435">
        <v>122201</v>
      </c>
      <c r="F22" s="435">
        <v>739</v>
      </c>
      <c r="G22" s="435">
        <v>105023</v>
      </c>
      <c r="H22" s="437">
        <f>+G22/(E22+F22)</f>
        <v>0.85426224174394016</v>
      </c>
    </row>
    <row r="23" spans="1:8" x14ac:dyDescent="0.25">
      <c r="A23" s="334">
        <v>17</v>
      </c>
      <c r="B23" s="335" t="s">
        <v>693</v>
      </c>
      <c r="C23" s="514">
        <f>SUM(C7:C22)</f>
        <v>2996914</v>
      </c>
      <c r="D23" s="514">
        <f t="shared" ref="D23:F23" si="1">SUM(D7:D22)</f>
        <v>1407058</v>
      </c>
      <c r="E23" s="514">
        <f t="shared" si="1"/>
        <v>2835311</v>
      </c>
      <c r="F23" s="514">
        <f t="shared" si="1"/>
        <v>933175</v>
      </c>
      <c r="G23" s="436">
        <f>SUM(G7:G22)</f>
        <v>1914698</v>
      </c>
      <c r="H23" s="437">
        <f>+G23/(E23+F23)</f>
        <v>0.50808149479658404</v>
      </c>
    </row>
    <row r="25" spans="1:8" s="17" customFormat="1" x14ac:dyDescent="0.25"/>
    <row r="26" spans="1:8" s="17" customFormat="1" x14ac:dyDescent="0.25"/>
    <row r="27" spans="1:8" s="17" customFormat="1" x14ac:dyDescent="0.25"/>
    <row r="28" spans="1:8" s="17" customFormat="1" x14ac:dyDescent="0.25"/>
  </sheetData>
  <sheetProtection algorithmName="SHA-512" hashValue="WPsy5oqN/9LkbYDrmuVcEIZFlhItt8st/sum6FzH+HwA+AU1KDikIJREH4rriWmqk3iROEHHUkTjEr511r9WRw==" saltValue="VFaZFf6/YznCffGTDwuCxQ==" spinCount="100000" sheet="1" objects="1" scenarios="1"/>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&amp;CDA
Bilag XIX</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BBB6A-EAAF-49EF-8CF1-1DF0C4FB4A5B}">
  <sheetPr>
    <tabColor theme="0" tint="-0.14999847407452621"/>
    <pageSetUpPr fitToPage="1"/>
  </sheetPr>
  <dimension ref="A2:S24"/>
  <sheetViews>
    <sheetView zoomScale="90" zoomScaleNormal="90" workbookViewId="0"/>
  </sheetViews>
  <sheetFormatPr defaultRowHeight="15" x14ac:dyDescent="0.25"/>
  <cols>
    <col min="1" max="1" width="3.85546875" customWidth="1"/>
    <col min="2" max="2" width="38.140625" customWidth="1"/>
    <col min="3" max="19" width="12.7109375" customWidth="1"/>
  </cols>
  <sheetData>
    <row r="2" spans="1:19" ht="18.75" x14ac:dyDescent="0.3">
      <c r="B2" s="73" t="s">
        <v>675</v>
      </c>
    </row>
    <row r="5" spans="1:19" ht="15" customHeight="1" x14ac:dyDescent="0.25">
      <c r="A5" s="329"/>
      <c r="B5" s="661" t="s">
        <v>676</v>
      </c>
      <c r="C5" s="663" t="s">
        <v>694</v>
      </c>
      <c r="D5" s="666"/>
      <c r="E5" s="666"/>
      <c r="F5" s="666"/>
      <c r="G5" s="666"/>
      <c r="H5" s="666"/>
      <c r="I5" s="666"/>
      <c r="J5" s="666"/>
      <c r="K5" s="666"/>
      <c r="L5" s="666"/>
      <c r="M5" s="666"/>
      <c r="N5" s="666"/>
      <c r="O5" s="666"/>
      <c r="P5" s="666"/>
      <c r="Q5" s="662"/>
      <c r="R5" s="667" t="s">
        <v>38</v>
      </c>
      <c r="S5" s="667" t="s">
        <v>695</v>
      </c>
    </row>
    <row r="6" spans="1:19" x14ac:dyDescent="0.25">
      <c r="A6" s="330"/>
      <c r="B6" s="661"/>
      <c r="C6" s="336">
        <v>0</v>
      </c>
      <c r="D6" s="337">
        <v>0.02</v>
      </c>
      <c r="E6" s="336">
        <v>0.04</v>
      </c>
      <c r="F6" s="337">
        <v>0.1</v>
      </c>
      <c r="G6" s="337">
        <v>0.2</v>
      </c>
      <c r="H6" s="337">
        <v>0.35</v>
      </c>
      <c r="I6" s="337">
        <v>0.5</v>
      </c>
      <c r="J6" s="337">
        <v>0.7</v>
      </c>
      <c r="K6" s="337">
        <v>0.75</v>
      </c>
      <c r="L6" s="338">
        <v>1</v>
      </c>
      <c r="M6" s="338">
        <v>1.5</v>
      </c>
      <c r="N6" s="338">
        <v>2.5</v>
      </c>
      <c r="O6" s="338">
        <v>3.7</v>
      </c>
      <c r="P6" s="338">
        <v>12.5</v>
      </c>
      <c r="Q6" s="338" t="s">
        <v>696</v>
      </c>
      <c r="R6" s="667"/>
      <c r="S6" s="667"/>
    </row>
    <row r="7" spans="1:19" x14ac:dyDescent="0.25">
      <c r="A7" s="330"/>
      <c r="B7" s="661"/>
      <c r="C7" s="224" t="s">
        <v>2</v>
      </c>
      <c r="D7" s="224" t="s">
        <v>3</v>
      </c>
      <c r="E7" s="224" t="s">
        <v>4</v>
      </c>
      <c r="F7" s="224" t="s">
        <v>100</v>
      </c>
      <c r="G7" s="224" t="s">
        <v>99</v>
      </c>
      <c r="H7" s="224" t="s">
        <v>115</v>
      </c>
      <c r="I7" s="224" t="s">
        <v>116</v>
      </c>
      <c r="J7" s="224" t="s">
        <v>145</v>
      </c>
      <c r="K7" s="224" t="s">
        <v>316</v>
      </c>
      <c r="L7" s="224" t="s">
        <v>317</v>
      </c>
      <c r="M7" s="224" t="s">
        <v>318</v>
      </c>
      <c r="N7" s="224" t="s">
        <v>319</v>
      </c>
      <c r="O7" s="224" t="s">
        <v>320</v>
      </c>
      <c r="P7" s="224" t="s">
        <v>566</v>
      </c>
      <c r="Q7" s="224" t="s">
        <v>567</v>
      </c>
      <c r="R7" s="339" t="s">
        <v>697</v>
      </c>
      <c r="S7" s="339" t="s">
        <v>698</v>
      </c>
    </row>
    <row r="8" spans="1:19" x14ac:dyDescent="0.25">
      <c r="A8" s="333">
        <v>1</v>
      </c>
      <c r="B8" s="58" t="s">
        <v>682</v>
      </c>
      <c r="C8" s="434">
        <v>903333</v>
      </c>
      <c r="D8" s="435"/>
      <c r="E8" s="435"/>
      <c r="F8" s="435"/>
      <c r="G8" s="435"/>
      <c r="H8" s="435"/>
      <c r="I8" s="435"/>
      <c r="J8" s="435"/>
      <c r="K8" s="435"/>
      <c r="L8" s="435"/>
      <c r="M8" s="435"/>
      <c r="N8" s="435"/>
      <c r="O8" s="435"/>
      <c r="P8" s="435"/>
      <c r="Q8" s="435"/>
      <c r="R8" s="435">
        <f>SUM(C8:Q8)</f>
        <v>903333</v>
      </c>
      <c r="S8" s="435"/>
    </row>
    <row r="9" spans="1:19" x14ac:dyDescent="0.25">
      <c r="A9" s="333">
        <v>2</v>
      </c>
      <c r="B9" s="308" t="s">
        <v>683</v>
      </c>
      <c r="C9" s="434"/>
      <c r="D9" s="435"/>
      <c r="E9" s="435"/>
      <c r="F9" s="435"/>
      <c r="G9" s="435"/>
      <c r="H9" s="435"/>
      <c r="I9" s="435"/>
      <c r="J9" s="435"/>
      <c r="K9" s="435"/>
      <c r="L9" s="435"/>
      <c r="M9" s="435"/>
      <c r="N9" s="435"/>
      <c r="O9" s="435"/>
      <c r="P9" s="435"/>
      <c r="Q9" s="435"/>
      <c r="R9" s="435">
        <f t="shared" ref="R9:R23" si="0">SUM(C9:Q9)</f>
        <v>0</v>
      </c>
      <c r="S9" s="435"/>
    </row>
    <row r="10" spans="1:19" x14ac:dyDescent="0.25">
      <c r="A10" s="333">
        <v>3</v>
      </c>
      <c r="B10" s="308" t="s">
        <v>684</v>
      </c>
      <c r="C10" s="434"/>
      <c r="D10" s="435"/>
      <c r="E10" s="435"/>
      <c r="F10" s="435"/>
      <c r="G10" s="435">
        <v>10929</v>
      </c>
      <c r="H10" s="435"/>
      <c r="I10" s="435"/>
      <c r="J10" s="435"/>
      <c r="K10" s="435"/>
      <c r="L10" s="435"/>
      <c r="M10" s="435"/>
      <c r="N10" s="435"/>
      <c r="O10" s="435"/>
      <c r="P10" s="435"/>
      <c r="Q10" s="435"/>
      <c r="R10" s="435">
        <f t="shared" si="0"/>
        <v>10929</v>
      </c>
      <c r="S10" s="435"/>
    </row>
    <row r="11" spans="1:19" x14ac:dyDescent="0.25">
      <c r="A11" s="333">
        <v>4</v>
      </c>
      <c r="B11" s="308" t="s">
        <v>685</v>
      </c>
      <c r="C11" s="434"/>
      <c r="D11" s="435"/>
      <c r="E11" s="435"/>
      <c r="F11" s="435"/>
      <c r="G11" s="435"/>
      <c r="H11" s="435"/>
      <c r="I11" s="435"/>
      <c r="J11" s="435"/>
      <c r="K11" s="435"/>
      <c r="L11" s="435"/>
      <c r="M11" s="435"/>
      <c r="N11" s="435"/>
      <c r="O11" s="435"/>
      <c r="P11" s="435"/>
      <c r="Q11" s="435"/>
      <c r="R11" s="435">
        <f t="shared" si="0"/>
        <v>0</v>
      </c>
      <c r="S11" s="435"/>
    </row>
    <row r="12" spans="1:19" x14ac:dyDescent="0.25">
      <c r="A12" s="333">
        <v>5</v>
      </c>
      <c r="B12" s="308" t="s">
        <v>686</v>
      </c>
      <c r="C12" s="434"/>
      <c r="D12" s="435"/>
      <c r="E12" s="435"/>
      <c r="F12" s="435"/>
      <c r="G12" s="435"/>
      <c r="H12" s="435"/>
      <c r="I12" s="435"/>
      <c r="J12" s="435"/>
      <c r="K12" s="435"/>
      <c r="L12" s="435"/>
      <c r="M12" s="435"/>
      <c r="N12" s="435"/>
      <c r="O12" s="435"/>
      <c r="P12" s="435"/>
      <c r="Q12" s="435"/>
      <c r="R12" s="435">
        <f t="shared" si="0"/>
        <v>0</v>
      </c>
      <c r="S12" s="435"/>
    </row>
    <row r="13" spans="1:19" x14ac:dyDescent="0.25">
      <c r="A13" s="333">
        <v>6</v>
      </c>
      <c r="B13" s="308" t="s">
        <v>460</v>
      </c>
      <c r="C13" s="434"/>
      <c r="D13" s="435"/>
      <c r="E13" s="435"/>
      <c r="F13" s="435"/>
      <c r="G13" s="436">
        <v>35863</v>
      </c>
      <c r="H13" s="436"/>
      <c r="I13" s="436">
        <v>54</v>
      </c>
      <c r="J13" s="435"/>
      <c r="K13" s="435"/>
      <c r="L13" s="435"/>
      <c r="M13" s="435"/>
      <c r="N13" s="435"/>
      <c r="O13" s="435"/>
      <c r="P13" s="435"/>
      <c r="Q13" s="435"/>
      <c r="R13" s="435">
        <f t="shared" si="0"/>
        <v>35917</v>
      </c>
      <c r="S13" s="435"/>
    </row>
    <row r="14" spans="1:19" x14ac:dyDescent="0.25">
      <c r="A14" s="333">
        <v>7</v>
      </c>
      <c r="B14" s="308" t="s">
        <v>466</v>
      </c>
      <c r="C14" s="434"/>
      <c r="D14" s="435"/>
      <c r="E14" s="435"/>
      <c r="F14" s="435"/>
      <c r="G14" s="435"/>
      <c r="H14" s="435"/>
      <c r="I14" s="435"/>
      <c r="J14" s="435"/>
      <c r="K14" s="435"/>
      <c r="L14" s="435">
        <v>326703</v>
      </c>
      <c r="M14" s="435"/>
      <c r="N14" s="435"/>
      <c r="O14" s="435"/>
      <c r="P14" s="435"/>
      <c r="Q14" s="435"/>
      <c r="R14" s="435">
        <f t="shared" si="0"/>
        <v>326703</v>
      </c>
      <c r="S14" s="435"/>
    </row>
    <row r="15" spans="1:19" x14ac:dyDescent="0.25">
      <c r="A15" s="333">
        <v>8</v>
      </c>
      <c r="B15" s="308" t="s">
        <v>464</v>
      </c>
      <c r="C15" s="434"/>
      <c r="D15" s="435"/>
      <c r="E15" s="435"/>
      <c r="F15" s="435"/>
      <c r="G15" s="435"/>
      <c r="H15" s="435"/>
      <c r="I15" s="435"/>
      <c r="J15" s="435"/>
      <c r="K15" s="435">
        <v>2246227</v>
      </c>
      <c r="L15" s="435"/>
      <c r="M15" s="435"/>
      <c r="N15" s="435"/>
      <c r="O15" s="435"/>
      <c r="P15" s="435"/>
      <c r="Q15" s="435"/>
      <c r="R15" s="435">
        <f t="shared" si="0"/>
        <v>2246227</v>
      </c>
      <c r="S15" s="435"/>
    </row>
    <row r="16" spans="1:19" ht="30" x14ac:dyDescent="0.25">
      <c r="A16" s="333">
        <v>9</v>
      </c>
      <c r="B16" s="308" t="s">
        <v>699</v>
      </c>
      <c r="C16" s="434"/>
      <c r="D16" s="435"/>
      <c r="E16" s="435"/>
      <c r="F16" s="435"/>
      <c r="G16" s="435"/>
      <c r="H16" s="435">
        <v>505190</v>
      </c>
      <c r="I16" s="435">
        <v>6547</v>
      </c>
      <c r="J16" s="435"/>
      <c r="K16" s="435"/>
      <c r="L16" s="435"/>
      <c r="M16" s="435"/>
      <c r="N16" s="435"/>
      <c r="O16" s="435"/>
      <c r="P16" s="435"/>
      <c r="Q16" s="435"/>
      <c r="R16" s="435">
        <f t="shared" si="0"/>
        <v>511737</v>
      </c>
      <c r="S16" s="435"/>
    </row>
    <row r="17" spans="1:19" x14ac:dyDescent="0.25">
      <c r="A17" s="333">
        <v>10</v>
      </c>
      <c r="B17" s="308" t="s">
        <v>468</v>
      </c>
      <c r="C17" s="434"/>
      <c r="D17" s="435"/>
      <c r="E17" s="435"/>
      <c r="F17" s="435"/>
      <c r="G17" s="435"/>
      <c r="H17" s="435"/>
      <c r="I17" s="435"/>
      <c r="J17" s="435"/>
      <c r="K17" s="435"/>
      <c r="L17" s="435">
        <v>130225</v>
      </c>
      <c r="M17" s="435">
        <v>61186</v>
      </c>
      <c r="N17" s="435"/>
      <c r="O17" s="435"/>
      <c r="P17" s="435"/>
      <c r="Q17" s="435"/>
      <c r="R17" s="435">
        <f t="shared" si="0"/>
        <v>191411</v>
      </c>
      <c r="S17" s="435"/>
    </row>
    <row r="18" spans="1:19" ht="30" x14ac:dyDescent="0.25">
      <c r="A18" s="333">
        <v>11</v>
      </c>
      <c r="B18" s="308" t="s">
        <v>688</v>
      </c>
      <c r="C18" s="434"/>
      <c r="D18" s="435"/>
      <c r="E18" s="435"/>
      <c r="F18" s="435"/>
      <c r="G18" s="435"/>
      <c r="H18" s="435"/>
      <c r="I18" s="435"/>
      <c r="J18" s="435"/>
      <c r="K18" s="435"/>
      <c r="L18" s="435"/>
      <c r="M18" s="435"/>
      <c r="N18" s="435"/>
      <c r="O18" s="435"/>
      <c r="P18" s="435"/>
      <c r="Q18" s="435"/>
      <c r="R18" s="435">
        <f t="shared" si="0"/>
        <v>0</v>
      </c>
      <c r="S18" s="435"/>
    </row>
    <row r="19" spans="1:19" ht="30" x14ac:dyDescent="0.25">
      <c r="A19" s="333">
        <v>12</v>
      </c>
      <c r="B19" s="308" t="s">
        <v>454</v>
      </c>
      <c r="C19" s="434"/>
      <c r="D19" s="435"/>
      <c r="E19" s="435"/>
      <c r="F19" s="435"/>
      <c r="G19" s="435"/>
      <c r="H19" s="435"/>
      <c r="I19" s="435"/>
      <c r="J19" s="435"/>
      <c r="K19" s="435"/>
      <c r="L19" s="435"/>
      <c r="M19" s="435"/>
      <c r="N19" s="435"/>
      <c r="O19" s="435"/>
      <c r="P19" s="435"/>
      <c r="Q19" s="435"/>
      <c r="R19" s="435">
        <f t="shared" si="0"/>
        <v>0</v>
      </c>
      <c r="S19" s="435"/>
    </row>
    <row r="20" spans="1:19" ht="30" x14ac:dyDescent="0.25">
      <c r="A20" s="333">
        <v>13</v>
      </c>
      <c r="B20" s="308" t="s">
        <v>700</v>
      </c>
      <c r="C20" s="434"/>
      <c r="D20" s="435"/>
      <c r="E20" s="435"/>
      <c r="F20" s="435"/>
      <c r="G20" s="435"/>
      <c r="H20" s="435"/>
      <c r="I20" s="435"/>
      <c r="J20" s="435"/>
      <c r="K20" s="435"/>
      <c r="L20" s="435"/>
      <c r="M20" s="435"/>
      <c r="N20" s="435"/>
      <c r="O20" s="435"/>
      <c r="P20" s="435"/>
      <c r="Q20" s="435"/>
      <c r="R20" s="435">
        <f t="shared" si="0"/>
        <v>0</v>
      </c>
      <c r="S20" s="435"/>
    </row>
    <row r="21" spans="1:19" x14ac:dyDescent="0.25">
      <c r="A21" s="333">
        <v>14</v>
      </c>
      <c r="B21" s="308" t="s">
        <v>701</v>
      </c>
      <c r="C21" s="434"/>
      <c r="D21" s="435"/>
      <c r="E21" s="435"/>
      <c r="F21" s="435"/>
      <c r="G21" s="435"/>
      <c r="H21" s="435"/>
      <c r="I21" s="435"/>
      <c r="J21" s="435"/>
      <c r="K21" s="435"/>
      <c r="L21" s="435"/>
      <c r="M21" s="435"/>
      <c r="N21" s="435"/>
      <c r="O21" s="435"/>
      <c r="P21" s="435"/>
      <c r="Q21" s="435"/>
      <c r="R21" s="435">
        <f t="shared" si="0"/>
        <v>0</v>
      </c>
      <c r="S21" s="435"/>
    </row>
    <row r="22" spans="1:19" x14ac:dyDescent="0.25">
      <c r="A22" s="333">
        <v>15</v>
      </c>
      <c r="B22" s="308" t="s">
        <v>702</v>
      </c>
      <c r="C22" s="434"/>
      <c r="D22" s="435"/>
      <c r="E22" s="435"/>
      <c r="F22" s="435"/>
      <c r="G22" s="435"/>
      <c r="H22" s="435"/>
      <c r="I22" s="435"/>
      <c r="J22" s="435"/>
      <c r="K22" s="435"/>
      <c r="L22" s="435">
        <v>55271</v>
      </c>
      <c r="M22" s="435"/>
      <c r="N22" s="435"/>
      <c r="O22" s="435"/>
      <c r="P22" s="435"/>
      <c r="Q22" s="435"/>
      <c r="R22" s="435">
        <f t="shared" si="0"/>
        <v>55271</v>
      </c>
      <c r="S22" s="435"/>
    </row>
    <row r="23" spans="1:19" x14ac:dyDescent="0.25">
      <c r="A23" s="333">
        <v>16</v>
      </c>
      <c r="B23" s="308" t="s">
        <v>692</v>
      </c>
      <c r="C23" s="434">
        <v>17917</v>
      </c>
      <c r="D23" s="435"/>
      <c r="E23" s="435"/>
      <c r="F23" s="435"/>
      <c r="G23" s="435"/>
      <c r="H23" s="435"/>
      <c r="I23" s="435"/>
      <c r="J23" s="435"/>
      <c r="K23" s="435"/>
      <c r="L23" s="435">
        <v>106552</v>
      </c>
      <c r="M23" s="435"/>
      <c r="N23" s="435"/>
      <c r="O23" s="435"/>
      <c r="P23" s="435"/>
      <c r="Q23" s="435"/>
      <c r="R23" s="435">
        <f t="shared" si="0"/>
        <v>124469</v>
      </c>
      <c r="S23" s="435"/>
    </row>
    <row r="24" spans="1:19" x14ac:dyDescent="0.25">
      <c r="A24" s="334">
        <v>17</v>
      </c>
      <c r="B24" s="335" t="s">
        <v>693</v>
      </c>
      <c r="C24" s="434">
        <f>SUM(C8:C23)</f>
        <v>921250</v>
      </c>
      <c r="D24" s="434">
        <f t="shared" ref="D24:R24" si="1">SUM(D8:D23)</f>
        <v>0</v>
      </c>
      <c r="E24" s="434">
        <f t="shared" si="1"/>
        <v>0</v>
      </c>
      <c r="F24" s="434">
        <f t="shared" si="1"/>
        <v>0</v>
      </c>
      <c r="G24" s="434">
        <f t="shared" si="1"/>
        <v>46792</v>
      </c>
      <c r="H24" s="434">
        <f t="shared" si="1"/>
        <v>505190</v>
      </c>
      <c r="I24" s="434">
        <f t="shared" si="1"/>
        <v>6601</v>
      </c>
      <c r="J24" s="434">
        <f t="shared" si="1"/>
        <v>0</v>
      </c>
      <c r="K24" s="434">
        <f t="shared" si="1"/>
        <v>2246227</v>
      </c>
      <c r="L24" s="434">
        <f t="shared" si="1"/>
        <v>618751</v>
      </c>
      <c r="M24" s="434">
        <f t="shared" si="1"/>
        <v>61186</v>
      </c>
      <c r="N24" s="434">
        <f t="shared" si="1"/>
        <v>0</v>
      </c>
      <c r="O24" s="434">
        <f t="shared" si="1"/>
        <v>0</v>
      </c>
      <c r="P24" s="434">
        <f t="shared" si="1"/>
        <v>0</v>
      </c>
      <c r="Q24" s="434">
        <f t="shared" si="1"/>
        <v>0</v>
      </c>
      <c r="R24" s="434">
        <f t="shared" si="1"/>
        <v>4405997</v>
      </c>
      <c r="S24" s="435"/>
    </row>
  </sheetData>
  <sheetProtection algorithmName="SHA-512" hashValue="2Fp4oA0PzLf+eGgpTfmlFRSbRIS6+bL8gbj+GjcPMEjHRft4ZajhDR40S51kZtLgNhgW47t4he+fWWfS21xaGA==" saltValue="qFUKDqx7f7CWC0Lgp2rxRg==" spinCount="100000" sheet="1" objects="1" scenarios="1"/>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50" orientation="landscape" r:id="rId1"/>
  <headerFooter>
    <oddHeader>&amp;CDA
Bilag 23</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40A56-32E4-4BBE-8D9B-33E0578A95D9}">
  <sheetPr>
    <tabColor theme="0" tint="-0.14999847407452621"/>
    <pageSetUpPr fitToPage="1"/>
  </sheetPr>
  <dimension ref="A1:G19"/>
  <sheetViews>
    <sheetView workbookViewId="0"/>
  </sheetViews>
  <sheetFormatPr defaultColWidth="11.42578125" defaultRowHeight="15" x14ac:dyDescent="0.25"/>
  <cols>
    <col min="1" max="1" width="6.7109375" customWidth="1"/>
    <col min="2" max="2" width="41.7109375" customWidth="1"/>
    <col min="3" max="3" width="22.7109375" customWidth="1"/>
    <col min="4" max="4" width="15.28515625" customWidth="1"/>
    <col min="6" max="6" width="50.85546875" customWidth="1"/>
    <col min="7" max="7" width="7.42578125" customWidth="1"/>
    <col min="8" max="8" width="42" customWidth="1"/>
  </cols>
  <sheetData>
    <row r="1" spans="1:7" s="65" customFormat="1" ht="40.5" customHeight="1" x14ac:dyDescent="0.25">
      <c r="A1" s="345" t="s">
        <v>710</v>
      </c>
      <c r="B1" s="345"/>
      <c r="C1" s="346"/>
      <c r="D1" s="346"/>
    </row>
    <row r="2" spans="1:7" x14ac:dyDescent="0.25">
      <c r="A2" s="341"/>
      <c r="B2" s="341"/>
      <c r="C2" s="347" t="s">
        <v>2</v>
      </c>
    </row>
    <row r="3" spans="1:7" ht="38.25" customHeight="1" x14ac:dyDescent="0.25">
      <c r="A3" s="348"/>
      <c r="B3" s="349"/>
      <c r="C3" s="350" t="s">
        <v>714</v>
      </c>
    </row>
    <row r="4" spans="1:7" x14ac:dyDescent="0.25">
      <c r="A4" s="348"/>
      <c r="B4" s="351" t="s">
        <v>715</v>
      </c>
      <c r="C4" s="352"/>
      <c r="G4" s="353"/>
    </row>
    <row r="5" spans="1:7" ht="15.75" customHeight="1" x14ac:dyDescent="0.25">
      <c r="A5" s="354">
        <v>1</v>
      </c>
      <c r="B5" s="355" t="s">
        <v>716</v>
      </c>
      <c r="C5" s="420">
        <v>215606</v>
      </c>
      <c r="F5" s="513"/>
      <c r="G5" s="353"/>
    </row>
    <row r="6" spans="1:7" x14ac:dyDescent="0.25">
      <c r="A6" s="354">
        <v>2</v>
      </c>
      <c r="B6" s="355" t="s">
        <v>717</v>
      </c>
      <c r="C6" s="420">
        <v>17281</v>
      </c>
      <c r="G6" s="353"/>
    </row>
    <row r="7" spans="1:7" x14ac:dyDescent="0.25">
      <c r="A7" s="354">
        <v>3</v>
      </c>
      <c r="B7" s="355" t="s">
        <v>718</v>
      </c>
      <c r="C7" s="420"/>
      <c r="G7" s="353"/>
    </row>
    <row r="8" spans="1:7" x14ac:dyDescent="0.25">
      <c r="A8" s="354">
        <v>4</v>
      </c>
      <c r="B8" s="355" t="s">
        <v>719</v>
      </c>
      <c r="C8" s="420"/>
    </row>
    <row r="9" spans="1:7" x14ac:dyDescent="0.25">
      <c r="A9" s="354"/>
      <c r="B9" s="356" t="s">
        <v>720</v>
      </c>
      <c r="C9" s="421"/>
    </row>
    <row r="10" spans="1:7" x14ac:dyDescent="0.25">
      <c r="A10" s="354">
        <v>5</v>
      </c>
      <c r="B10" s="357" t="s">
        <v>721</v>
      </c>
      <c r="C10" s="420"/>
    </row>
    <row r="11" spans="1:7" x14ac:dyDescent="0.25">
      <c r="A11" s="354">
        <v>6</v>
      </c>
      <c r="B11" s="357" t="s">
        <v>722</v>
      </c>
      <c r="C11" s="420"/>
    </row>
    <row r="12" spans="1:7" x14ac:dyDescent="0.25">
      <c r="A12" s="354">
        <v>7</v>
      </c>
      <c r="B12" s="357" t="s">
        <v>723</v>
      </c>
      <c r="C12" s="420"/>
    </row>
    <row r="13" spans="1:7" x14ac:dyDescent="0.25">
      <c r="A13" s="354">
        <v>8</v>
      </c>
      <c r="B13" s="349" t="s">
        <v>724</v>
      </c>
      <c r="C13" s="420"/>
    </row>
    <row r="14" spans="1:7" x14ac:dyDescent="0.25">
      <c r="A14" s="354">
        <v>9</v>
      </c>
      <c r="B14" s="356" t="s">
        <v>38</v>
      </c>
      <c r="C14" s="420">
        <f>SUM(C5:C13)</f>
        <v>232887</v>
      </c>
    </row>
    <row r="18" ht="50.25" customHeight="1" x14ac:dyDescent="0.25"/>
    <row r="19" ht="50.25" customHeight="1" x14ac:dyDescent="0.25"/>
  </sheetData>
  <sheetProtection algorithmName="SHA-512" hashValue="efbPYht3sUOAVT78/MFlDdOQWJgd5VmR/mnFdISEyNiV0qmuh/r17ZffLcujva+Big5W86+jM07rPPbgiETGLg==" saltValue="EjT2OQfiuNv1cJYy/a0E5A==" spinCount="100000" sheet="1" objects="1" scenarios="1"/>
  <pageMargins left="0.70866141732283472" right="0.70866141732283472" top="0.74803149606299213" bottom="0.74803149606299213" header="0.31496062992125984" footer="0.31496062992125984"/>
  <pageSetup paperSize="9" orientation="landscape" r:id="rId1"/>
  <headerFooter>
    <oddHeader>&amp;CDA
Bilag XXIX</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A0575-1A7A-4596-91AA-A7A2DD99C254}">
  <sheetPr>
    <tabColor theme="0" tint="-0.14999847407452621"/>
  </sheetPr>
  <dimension ref="A1:M18"/>
  <sheetViews>
    <sheetView topLeftCell="A7" workbookViewId="0">
      <selection activeCell="A7" sqref="A7"/>
    </sheetView>
  </sheetViews>
  <sheetFormatPr defaultColWidth="9.140625" defaultRowHeight="15" x14ac:dyDescent="0.25"/>
  <cols>
    <col min="1" max="1" width="11.28515625" customWidth="1"/>
    <col min="2" max="2" width="43.7109375" customWidth="1"/>
    <col min="3" max="5" width="22.28515625" customWidth="1"/>
    <col min="6" max="8" width="22.28515625" hidden="1" customWidth="1"/>
    <col min="9" max="10" width="22.28515625" customWidth="1"/>
    <col min="12" max="12" width="13.140625" style="39" customWidth="1"/>
    <col min="13" max="13" width="52.42578125" customWidth="1"/>
  </cols>
  <sheetData>
    <row r="1" spans="1:13" hidden="1" x14ac:dyDescent="0.25"/>
    <row r="2" spans="1:13" hidden="1" x14ac:dyDescent="0.25">
      <c r="M2" s="343"/>
    </row>
    <row r="3" spans="1:13" ht="31.5" hidden="1" customHeight="1" x14ac:dyDescent="0.25">
      <c r="A3" s="668" t="s">
        <v>726</v>
      </c>
      <c r="B3" s="671" t="s">
        <v>727</v>
      </c>
      <c r="C3" s="672"/>
      <c r="D3" s="672"/>
      <c r="E3" s="672"/>
      <c r="F3" s="672"/>
      <c r="G3" s="672"/>
      <c r="H3" s="672"/>
      <c r="I3" s="672"/>
      <c r="J3" s="672"/>
      <c r="K3" s="673"/>
      <c r="M3" s="344"/>
    </row>
    <row r="4" spans="1:13" ht="32.25" hidden="1" customHeight="1" x14ac:dyDescent="0.25">
      <c r="A4" s="669"/>
      <c r="B4" s="674" t="s">
        <v>728</v>
      </c>
      <c r="C4" s="675"/>
      <c r="D4" s="675"/>
      <c r="E4" s="675"/>
      <c r="F4" s="675"/>
      <c r="G4" s="675"/>
      <c r="H4" s="675"/>
      <c r="I4" s="675"/>
      <c r="J4" s="675"/>
      <c r="K4" s="676"/>
    </row>
    <row r="5" spans="1:13" ht="25.5" hidden="1" customHeight="1" x14ac:dyDescent="0.25">
      <c r="A5" s="670"/>
      <c r="B5" s="671" t="s">
        <v>729</v>
      </c>
      <c r="C5" s="672"/>
      <c r="D5" s="672"/>
      <c r="E5" s="672"/>
      <c r="F5" s="672"/>
      <c r="G5" s="672"/>
      <c r="H5" s="672"/>
      <c r="I5" s="672"/>
      <c r="J5" s="672"/>
      <c r="K5" s="673"/>
    </row>
    <row r="6" spans="1:13" hidden="1" x14ac:dyDescent="0.25">
      <c r="A6" s="358"/>
      <c r="B6" s="310"/>
      <c r="C6" s="310"/>
      <c r="D6" s="310"/>
      <c r="E6" s="310"/>
      <c r="F6" s="310"/>
      <c r="G6" s="310"/>
      <c r="H6" s="310"/>
      <c r="I6" s="310"/>
      <c r="J6" s="310"/>
      <c r="K6" s="310"/>
    </row>
    <row r="7" spans="1:13" s="360" customFormat="1" ht="18.75" x14ac:dyDescent="0.25">
      <c r="A7" s="359" t="s">
        <v>730</v>
      </c>
      <c r="C7" s="361"/>
    </row>
    <row r="8" spans="1:13" s="360" customFormat="1" x14ac:dyDescent="0.25"/>
    <row r="9" spans="1:13" s="360" customFormat="1" x14ac:dyDescent="0.25">
      <c r="A9"/>
    </row>
    <row r="10" spans="1:13" s="360" customFormat="1" x14ac:dyDescent="0.25">
      <c r="A10"/>
    </row>
    <row r="11" spans="1:13" ht="13.5" customHeight="1" x14ac:dyDescent="0.25">
      <c r="A11" s="677" t="s">
        <v>731</v>
      </c>
      <c r="B11" s="677"/>
      <c r="C11" s="362" t="s">
        <v>2</v>
      </c>
      <c r="D11" s="362" t="s">
        <v>3</v>
      </c>
      <c r="E11" s="362" t="s">
        <v>4</v>
      </c>
      <c r="F11" s="362" t="s">
        <v>586</v>
      </c>
      <c r="G11" s="362" t="s">
        <v>588</v>
      </c>
      <c r="H11" s="362"/>
      <c r="I11" s="362" t="s">
        <v>100</v>
      </c>
      <c r="J11" s="363" t="s">
        <v>99</v>
      </c>
    </row>
    <row r="12" spans="1:13" ht="15" customHeight="1" x14ac:dyDescent="0.25">
      <c r="A12" s="677"/>
      <c r="B12" s="677"/>
      <c r="C12" s="677" t="s">
        <v>732</v>
      </c>
      <c r="D12" s="677"/>
      <c r="E12" s="677"/>
      <c r="F12" s="364" t="s">
        <v>733</v>
      </c>
      <c r="G12" s="364" t="s">
        <v>734</v>
      </c>
      <c r="H12" s="364"/>
      <c r="I12" s="546" t="s">
        <v>324</v>
      </c>
      <c r="J12" s="546" t="s">
        <v>735</v>
      </c>
    </row>
    <row r="13" spans="1:13" x14ac:dyDescent="0.25">
      <c r="A13" s="677"/>
      <c r="B13" s="677"/>
      <c r="C13" s="364" t="s">
        <v>736</v>
      </c>
      <c r="D13" s="364" t="s">
        <v>737</v>
      </c>
      <c r="E13" s="364" t="s">
        <v>738</v>
      </c>
      <c r="F13" s="364" t="s">
        <v>739</v>
      </c>
      <c r="G13" s="364"/>
      <c r="H13" s="364"/>
      <c r="I13" s="546"/>
      <c r="J13" s="546"/>
    </row>
    <row r="14" spans="1:13" ht="38.25" customHeight="1" x14ac:dyDescent="0.25">
      <c r="A14" s="364">
        <v>1</v>
      </c>
      <c r="B14" s="365" t="s">
        <v>740</v>
      </c>
      <c r="C14" s="419">
        <v>209298</v>
      </c>
      <c r="D14" s="419">
        <v>228881</v>
      </c>
      <c r="E14" s="419">
        <v>208558</v>
      </c>
      <c r="F14" s="419"/>
      <c r="G14" s="419"/>
      <c r="H14" s="419"/>
      <c r="I14" s="419">
        <v>32337</v>
      </c>
      <c r="J14" s="419">
        <v>404211</v>
      </c>
      <c r="L14" s="512"/>
    </row>
    <row r="15" spans="1:13" ht="30" x14ac:dyDescent="0.25">
      <c r="A15" s="364">
        <v>2</v>
      </c>
      <c r="B15" s="366" t="s">
        <v>741</v>
      </c>
      <c r="C15" s="364"/>
      <c r="D15" s="364"/>
      <c r="E15" s="364"/>
      <c r="F15" s="364"/>
      <c r="G15" s="364"/>
      <c r="H15" s="364"/>
      <c r="I15" s="364"/>
      <c r="J15" s="364"/>
    </row>
    <row r="16" spans="1:13" ht="38.25" customHeight="1" x14ac:dyDescent="0.25">
      <c r="A16" s="364">
        <v>3</v>
      </c>
      <c r="B16" s="367" t="s">
        <v>742</v>
      </c>
      <c r="C16" s="364"/>
      <c r="D16" s="364"/>
      <c r="E16" s="364"/>
      <c r="F16" s="364"/>
      <c r="G16" s="364"/>
      <c r="H16" s="364"/>
      <c r="I16" s="368"/>
      <c r="J16" s="369"/>
    </row>
    <row r="17" spans="1:10" ht="38.25" customHeight="1" x14ac:dyDescent="0.25">
      <c r="A17" s="364">
        <v>4</v>
      </c>
      <c r="B17" s="367" t="s">
        <v>743</v>
      </c>
      <c r="C17" s="364"/>
      <c r="D17" s="364"/>
      <c r="E17" s="364"/>
      <c r="F17" s="370"/>
      <c r="G17" s="371"/>
      <c r="H17" s="371"/>
      <c r="I17" s="368"/>
      <c r="J17" s="372"/>
    </row>
    <row r="18" spans="1:10" ht="38.25" customHeight="1" x14ac:dyDescent="0.25">
      <c r="A18" s="373">
        <v>5</v>
      </c>
      <c r="B18" s="365" t="s">
        <v>744</v>
      </c>
      <c r="C18" s="364"/>
      <c r="D18" s="364"/>
      <c r="E18" s="364"/>
      <c r="F18" s="371"/>
      <c r="G18" s="371"/>
      <c r="H18" s="371"/>
      <c r="I18" s="364"/>
      <c r="J18" s="364"/>
    </row>
  </sheetData>
  <sheetProtection algorithmName="SHA-512" hashValue="Jnk29eqr/JDSuSm0spsfwTNHcu5Kmm2cHnWm2Pw8W7Zc8nN+4BqWpdHqii2XufB+GOMiLqJU4ZUW++PJPVHw4g==" saltValue="MrESE7+EGWQsRpegsIqSYw==" spinCount="100000" sheet="1" objects="1" scenarios="1"/>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&amp;CDA
Bilag XXXI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833A1-E898-42CC-83BC-52D5FAD8EF37}">
  <sheetPr>
    <tabColor theme="0" tint="-0.14999847407452621"/>
    <pageSetUpPr fitToPage="1"/>
  </sheetPr>
  <dimension ref="A1:I27"/>
  <sheetViews>
    <sheetView zoomScale="80" zoomScaleNormal="80" workbookViewId="0"/>
  </sheetViews>
  <sheetFormatPr defaultColWidth="9.140625" defaultRowHeight="15" x14ac:dyDescent="0.25"/>
  <cols>
    <col min="1" max="1" width="9.140625" style="2"/>
    <col min="2" max="2" width="9.5703125" style="2" customWidth="1"/>
    <col min="3" max="3" width="8.140625" style="2" customWidth="1"/>
    <col min="4" max="4" width="9.140625" style="2"/>
    <col min="5" max="5" width="72.42578125" style="2" customWidth="1"/>
    <col min="6" max="9" width="25.7109375" style="2" customWidth="1"/>
    <col min="10" max="16384" width="9.140625" style="2"/>
  </cols>
  <sheetData>
    <row r="1" spans="1:9" x14ac:dyDescent="0.25">
      <c r="C1" s="3" t="s">
        <v>745</v>
      </c>
    </row>
    <row r="2" spans="1:9" x14ac:dyDescent="0.25">
      <c r="F2" s="2" t="s">
        <v>827</v>
      </c>
      <c r="G2" s="2" t="s">
        <v>828</v>
      </c>
      <c r="I2" s="2" t="s">
        <v>829</v>
      </c>
    </row>
    <row r="3" spans="1:9" x14ac:dyDescent="0.25">
      <c r="F3" s="342" t="s">
        <v>2</v>
      </c>
      <c r="G3" s="342" t="s">
        <v>3</v>
      </c>
      <c r="H3" s="342" t="s">
        <v>4</v>
      </c>
      <c r="I3" s="342" t="s">
        <v>100</v>
      </c>
    </row>
    <row r="4" spans="1:9" ht="30" x14ac:dyDescent="0.25">
      <c r="C4" s="678"/>
      <c r="D4" s="678"/>
      <c r="E4" s="678"/>
      <c r="F4" s="507" t="s">
        <v>750</v>
      </c>
      <c r="G4" s="507" t="s">
        <v>751</v>
      </c>
      <c r="H4" s="507" t="s">
        <v>752</v>
      </c>
      <c r="I4" s="507" t="s">
        <v>753</v>
      </c>
    </row>
    <row r="5" spans="1:9" ht="15" customHeight="1" x14ac:dyDescent="0.25">
      <c r="A5" s="374"/>
      <c r="B5" s="342">
        <v>1</v>
      </c>
      <c r="C5" s="679" t="s">
        <v>754</v>
      </c>
      <c r="D5" s="680"/>
      <c r="E5" s="375" t="s">
        <v>755</v>
      </c>
      <c r="F5" s="288">
        <v>6</v>
      </c>
      <c r="G5" s="288">
        <v>1</v>
      </c>
      <c r="H5" s="288"/>
      <c r="I5" s="517">
        <f>SUM('REM5'!F9:K9)</f>
        <v>10</v>
      </c>
    </row>
    <row r="6" spans="1:9" x14ac:dyDescent="0.25">
      <c r="B6" s="342">
        <v>2</v>
      </c>
      <c r="C6" s="681"/>
      <c r="D6" s="526"/>
      <c r="E6" s="375" t="s">
        <v>756</v>
      </c>
      <c r="F6" s="288">
        <v>1040</v>
      </c>
      <c r="G6" s="288">
        <v>3299</v>
      </c>
      <c r="H6" s="288"/>
      <c r="I6" s="517">
        <f>SUM('REM5'!F10:K10)</f>
        <v>10663</v>
      </c>
    </row>
    <row r="7" spans="1:9" x14ac:dyDescent="0.25">
      <c r="B7" s="342">
        <v>3</v>
      </c>
      <c r="C7" s="681"/>
      <c r="D7" s="526"/>
      <c r="E7" s="376" t="s">
        <v>757</v>
      </c>
      <c r="F7" s="288">
        <v>1040</v>
      </c>
      <c r="G7" s="288">
        <v>3299</v>
      </c>
      <c r="H7" s="288"/>
      <c r="I7" s="517">
        <f>+I6</f>
        <v>10663</v>
      </c>
    </row>
    <row r="8" spans="1:9" x14ac:dyDescent="0.25">
      <c r="B8" s="342">
        <v>4</v>
      </c>
      <c r="C8" s="681"/>
      <c r="D8" s="526"/>
      <c r="E8" s="376" t="s">
        <v>758</v>
      </c>
      <c r="F8" s="442"/>
      <c r="G8" s="442"/>
      <c r="H8" s="442"/>
      <c r="I8" s="442"/>
    </row>
    <row r="9" spans="1:9" x14ac:dyDescent="0.25">
      <c r="B9" s="342" t="s">
        <v>759</v>
      </c>
      <c r="C9" s="681"/>
      <c r="D9" s="526"/>
      <c r="E9" s="377" t="s">
        <v>760</v>
      </c>
      <c r="F9" s="288"/>
      <c r="G9" s="288"/>
      <c r="H9" s="288"/>
      <c r="I9" s="288"/>
    </row>
    <row r="10" spans="1:9" ht="30" x14ac:dyDescent="0.25">
      <c r="B10" s="342">
        <v>5</v>
      </c>
      <c r="C10" s="681"/>
      <c r="D10" s="526"/>
      <c r="E10" s="377" t="s">
        <v>761</v>
      </c>
      <c r="F10" s="288"/>
      <c r="G10" s="288"/>
      <c r="H10" s="288"/>
      <c r="I10" s="288"/>
    </row>
    <row r="11" spans="1:9" x14ac:dyDescent="0.25">
      <c r="B11" s="342" t="s">
        <v>762</v>
      </c>
      <c r="C11" s="681"/>
      <c r="D11" s="526"/>
      <c r="E11" s="376" t="s">
        <v>763</v>
      </c>
      <c r="F11" s="288"/>
      <c r="G11" s="288"/>
      <c r="H11" s="288"/>
      <c r="I11" s="288"/>
    </row>
    <row r="12" spans="1:9" x14ac:dyDescent="0.25">
      <c r="B12" s="342">
        <v>6</v>
      </c>
      <c r="C12" s="681"/>
      <c r="D12" s="526"/>
      <c r="E12" s="376" t="s">
        <v>758</v>
      </c>
      <c r="F12" s="442"/>
      <c r="G12" s="442"/>
      <c r="H12" s="442"/>
      <c r="I12" s="442"/>
    </row>
    <row r="13" spans="1:9" x14ac:dyDescent="0.25">
      <c r="B13" s="342">
        <v>7</v>
      </c>
      <c r="C13" s="681"/>
      <c r="D13" s="526"/>
      <c r="E13" s="376" t="s">
        <v>764</v>
      </c>
      <c r="F13" s="288"/>
      <c r="G13" s="288"/>
      <c r="H13" s="288"/>
      <c r="I13" s="288"/>
    </row>
    <row r="14" spans="1:9" x14ac:dyDescent="0.25">
      <c r="B14" s="342">
        <v>8</v>
      </c>
      <c r="C14" s="682"/>
      <c r="D14" s="528"/>
      <c r="E14" s="376" t="s">
        <v>758</v>
      </c>
      <c r="F14" s="442"/>
      <c r="G14" s="442"/>
      <c r="H14" s="442"/>
      <c r="I14" s="442"/>
    </row>
    <row r="15" spans="1:9" x14ac:dyDescent="0.25">
      <c r="B15" s="342">
        <v>9</v>
      </c>
      <c r="C15" s="683" t="s">
        <v>765</v>
      </c>
      <c r="D15" s="683"/>
      <c r="E15" s="375" t="s">
        <v>755</v>
      </c>
      <c r="F15" s="288"/>
      <c r="G15" s="288"/>
      <c r="H15" s="288"/>
      <c r="I15" s="288"/>
    </row>
    <row r="16" spans="1:9" x14ac:dyDescent="0.25">
      <c r="B16" s="342">
        <v>10</v>
      </c>
      <c r="C16" s="683"/>
      <c r="D16" s="683"/>
      <c r="E16" s="375" t="s">
        <v>766</v>
      </c>
      <c r="F16" s="288"/>
      <c r="G16" s="288"/>
      <c r="H16" s="288"/>
      <c r="I16" s="288"/>
    </row>
    <row r="17" spans="2:9" x14ac:dyDescent="0.25">
      <c r="B17" s="342">
        <v>11</v>
      </c>
      <c r="C17" s="683"/>
      <c r="D17" s="683"/>
      <c r="E17" s="376" t="s">
        <v>757</v>
      </c>
      <c r="F17" s="288"/>
      <c r="G17" s="288"/>
      <c r="H17" s="288"/>
      <c r="I17" s="288"/>
    </row>
    <row r="18" spans="2:9" x14ac:dyDescent="0.25">
      <c r="B18" s="342">
        <v>12</v>
      </c>
      <c r="C18" s="683"/>
      <c r="D18" s="683"/>
      <c r="E18" s="378" t="s">
        <v>767</v>
      </c>
      <c r="F18" s="288"/>
      <c r="G18" s="288"/>
      <c r="H18" s="288"/>
      <c r="I18" s="288"/>
    </row>
    <row r="19" spans="2:9" x14ac:dyDescent="0.25">
      <c r="B19" s="342" t="s">
        <v>768</v>
      </c>
      <c r="C19" s="683"/>
      <c r="D19" s="683"/>
      <c r="E19" s="377" t="s">
        <v>760</v>
      </c>
      <c r="F19" s="288"/>
      <c r="G19" s="288"/>
      <c r="H19" s="288"/>
      <c r="I19" s="288"/>
    </row>
    <row r="20" spans="2:9" x14ac:dyDescent="0.25">
      <c r="B20" s="342" t="s">
        <v>769</v>
      </c>
      <c r="C20" s="683"/>
      <c r="D20" s="683"/>
      <c r="E20" s="378" t="s">
        <v>767</v>
      </c>
      <c r="F20" s="288"/>
      <c r="G20" s="288"/>
      <c r="H20" s="288"/>
      <c r="I20" s="288"/>
    </row>
    <row r="21" spans="2:9" ht="30" x14ac:dyDescent="0.25">
      <c r="B21" s="342" t="s">
        <v>770</v>
      </c>
      <c r="C21" s="683"/>
      <c r="D21" s="683"/>
      <c r="E21" s="377" t="s">
        <v>761</v>
      </c>
      <c r="F21" s="288"/>
      <c r="G21" s="288"/>
      <c r="H21" s="288"/>
      <c r="I21" s="288"/>
    </row>
    <row r="22" spans="2:9" x14ac:dyDescent="0.25">
      <c r="B22" s="342" t="s">
        <v>771</v>
      </c>
      <c r="C22" s="683"/>
      <c r="D22" s="683"/>
      <c r="E22" s="378" t="s">
        <v>767</v>
      </c>
      <c r="F22" s="288"/>
      <c r="G22" s="288"/>
      <c r="H22" s="288"/>
      <c r="I22" s="288"/>
    </row>
    <row r="23" spans="2:9" x14ac:dyDescent="0.25">
      <c r="B23" s="342" t="s">
        <v>772</v>
      </c>
      <c r="C23" s="683"/>
      <c r="D23" s="683"/>
      <c r="E23" s="376" t="s">
        <v>763</v>
      </c>
      <c r="F23" s="288"/>
      <c r="G23" s="288"/>
      <c r="H23" s="288"/>
      <c r="I23" s="288"/>
    </row>
    <row r="24" spans="2:9" x14ac:dyDescent="0.25">
      <c r="B24" s="342" t="s">
        <v>773</v>
      </c>
      <c r="C24" s="683"/>
      <c r="D24" s="683"/>
      <c r="E24" s="378" t="s">
        <v>767</v>
      </c>
      <c r="F24" s="288"/>
      <c r="G24" s="288"/>
      <c r="H24" s="288"/>
      <c r="I24" s="288"/>
    </row>
    <row r="25" spans="2:9" x14ac:dyDescent="0.25">
      <c r="B25" s="342">
        <v>15</v>
      </c>
      <c r="C25" s="683"/>
      <c r="D25" s="683"/>
      <c r="E25" s="376" t="s">
        <v>764</v>
      </c>
      <c r="F25" s="288"/>
      <c r="G25" s="288"/>
      <c r="H25" s="288"/>
      <c r="I25" s="288"/>
    </row>
    <row r="26" spans="2:9" x14ac:dyDescent="0.25">
      <c r="B26" s="342">
        <v>16</v>
      </c>
      <c r="C26" s="683"/>
      <c r="D26" s="683"/>
      <c r="E26" s="378" t="s">
        <v>767</v>
      </c>
      <c r="F26" s="288"/>
      <c r="G26" s="288"/>
      <c r="H26" s="288"/>
      <c r="I26" s="288"/>
    </row>
    <row r="27" spans="2:9" x14ac:dyDescent="0.25">
      <c r="B27" s="342">
        <v>17</v>
      </c>
      <c r="C27" s="678" t="s">
        <v>774</v>
      </c>
      <c r="D27" s="678"/>
      <c r="E27" s="678"/>
      <c r="F27" s="288">
        <v>1040</v>
      </c>
      <c r="G27" s="288">
        <v>3299</v>
      </c>
      <c r="H27" s="288"/>
      <c r="I27" s="288">
        <f>+I7</f>
        <v>10663</v>
      </c>
    </row>
  </sheetData>
  <sheetProtection algorithmName="SHA-512" hashValue="uX27JDE1lBH/4sJCO257x8YZj4f3huQS+QTakCIE2cs3239t7zJMJsSNpG+cbCtxnt4+pRc8IyazwrLzCix+sw==" saltValue="JuVw24UI3heOpskiSA9N7Q==" spinCount="100000" sheet="1" objects="1" scenarios="1"/>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&amp;CDA
Bilag XXXIII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3BCE3-6D21-49A5-B324-612E1B93180A}">
  <sheetPr>
    <tabColor theme="0" tint="-0.14999847407452621"/>
  </sheetPr>
  <dimension ref="A1:L15"/>
  <sheetViews>
    <sheetView workbookViewId="0"/>
  </sheetViews>
  <sheetFormatPr defaultColWidth="9.140625" defaultRowHeight="15" x14ac:dyDescent="0.25"/>
  <cols>
    <col min="1" max="1" width="7.42578125" style="2" customWidth="1"/>
    <col min="2" max="2" width="55.5703125" style="2" customWidth="1"/>
    <col min="3" max="12" width="25.7109375" style="2" customWidth="1"/>
    <col min="13" max="16384" width="9.140625" style="2"/>
  </cols>
  <sheetData>
    <row r="1" spans="1:12" x14ac:dyDescent="0.25">
      <c r="B1" s="3" t="s">
        <v>749</v>
      </c>
    </row>
    <row r="2" spans="1:12" x14ac:dyDescent="0.25">
      <c r="B2" s="379"/>
      <c r="C2" s="379"/>
      <c r="D2" s="379"/>
      <c r="E2" s="379"/>
      <c r="F2" s="380"/>
      <c r="G2" s="380"/>
      <c r="H2" s="380"/>
      <c r="I2" s="380"/>
      <c r="J2" s="380"/>
      <c r="K2" s="380"/>
      <c r="L2" s="380"/>
    </row>
    <row r="3" spans="1:12" ht="15.75" thickBot="1" x14ac:dyDescent="0.3">
      <c r="C3" s="381" t="s">
        <v>776</v>
      </c>
      <c r="D3" s="381" t="s">
        <v>3</v>
      </c>
      <c r="E3" s="381" t="s">
        <v>4</v>
      </c>
      <c r="F3" s="381" t="s">
        <v>100</v>
      </c>
      <c r="G3" s="381" t="s">
        <v>99</v>
      </c>
      <c r="H3" s="381" t="s">
        <v>115</v>
      </c>
      <c r="I3" s="381" t="s">
        <v>116</v>
      </c>
      <c r="J3" s="381" t="s">
        <v>145</v>
      </c>
      <c r="K3" s="381" t="s">
        <v>316</v>
      </c>
      <c r="L3" s="381" t="s">
        <v>317</v>
      </c>
    </row>
    <row r="4" spans="1:12" ht="15" customHeight="1" x14ac:dyDescent="0.25">
      <c r="B4" s="382"/>
      <c r="C4" s="684" t="s">
        <v>777</v>
      </c>
      <c r="D4" s="685"/>
      <c r="E4" s="686"/>
      <c r="F4" s="687" t="s">
        <v>778</v>
      </c>
      <c r="G4" s="688"/>
      <c r="H4" s="688"/>
      <c r="I4" s="688"/>
      <c r="J4" s="688"/>
      <c r="K4" s="689"/>
      <c r="L4" s="383"/>
    </row>
    <row r="5" spans="1:12" ht="22.5" x14ac:dyDescent="0.25">
      <c r="C5" s="384" t="s">
        <v>750</v>
      </c>
      <c r="D5" s="385" t="s">
        <v>775</v>
      </c>
      <c r="E5" s="386" t="s">
        <v>779</v>
      </c>
      <c r="F5" s="384" t="s">
        <v>780</v>
      </c>
      <c r="G5" s="385" t="s">
        <v>781</v>
      </c>
      <c r="H5" s="385" t="s">
        <v>782</v>
      </c>
      <c r="I5" s="385" t="s">
        <v>783</v>
      </c>
      <c r="J5" s="385" t="s">
        <v>784</v>
      </c>
      <c r="K5" s="386" t="s">
        <v>785</v>
      </c>
      <c r="L5" s="387" t="s">
        <v>786</v>
      </c>
    </row>
    <row r="6" spans="1:12" x14ac:dyDescent="0.25">
      <c r="A6" s="388">
        <v>1</v>
      </c>
      <c r="B6" s="389" t="s">
        <v>787</v>
      </c>
      <c r="C6" s="390"/>
      <c r="D6" s="390"/>
      <c r="E6" s="390"/>
      <c r="F6" s="390"/>
      <c r="G6" s="390"/>
      <c r="H6" s="390"/>
      <c r="I6" s="390"/>
      <c r="J6" s="390"/>
      <c r="K6" s="390"/>
      <c r="L6" s="391"/>
    </row>
    <row r="7" spans="1:12" x14ac:dyDescent="0.25">
      <c r="A7" s="388">
        <v>2</v>
      </c>
      <c r="B7" s="392" t="s">
        <v>788</v>
      </c>
      <c r="C7" s="443">
        <f>+'REM1'!F5</f>
        <v>6</v>
      </c>
      <c r="D7" s="443">
        <f>+'REM1'!G5</f>
        <v>1</v>
      </c>
      <c r="E7" s="443">
        <f>+C7+D7</f>
        <v>7</v>
      </c>
      <c r="F7" s="393"/>
      <c r="G7" s="393"/>
      <c r="H7" s="393"/>
      <c r="I7" s="393"/>
      <c r="J7" s="393"/>
      <c r="K7" s="394"/>
      <c r="L7" s="395"/>
    </row>
    <row r="8" spans="1:12" x14ac:dyDescent="0.25">
      <c r="A8" s="388">
        <v>3</v>
      </c>
      <c r="B8" s="396" t="s">
        <v>789</v>
      </c>
      <c r="C8" s="444"/>
      <c r="D8" s="444"/>
      <c r="E8" s="444"/>
      <c r="F8" s="449"/>
      <c r="G8" s="449"/>
      <c r="H8" s="449"/>
      <c r="I8" s="449"/>
      <c r="J8" s="449"/>
      <c r="K8" s="450"/>
      <c r="L8" s="395"/>
    </row>
    <row r="9" spans="1:12" x14ac:dyDescent="0.25">
      <c r="A9" s="388">
        <v>4</v>
      </c>
      <c r="B9" s="396" t="s">
        <v>790</v>
      </c>
      <c r="C9" s="444"/>
      <c r="D9" s="444"/>
      <c r="E9" s="444"/>
      <c r="F9" s="449"/>
      <c r="G9" s="515">
        <v>4</v>
      </c>
      <c r="H9" s="515"/>
      <c r="I9" s="515">
        <v>3</v>
      </c>
      <c r="J9" s="515">
        <v>3</v>
      </c>
      <c r="K9" s="450"/>
      <c r="L9" s="395"/>
    </row>
    <row r="10" spans="1:12" x14ac:dyDescent="0.25">
      <c r="A10" s="388">
        <v>5</v>
      </c>
      <c r="B10" s="389" t="s">
        <v>791</v>
      </c>
      <c r="C10" s="445">
        <f>+'REM1'!F27</f>
        <v>1040</v>
      </c>
      <c r="D10" s="443">
        <f>+'REM1'!G7</f>
        <v>3299</v>
      </c>
      <c r="E10" s="443">
        <f>+C10+D10</f>
        <v>4339</v>
      </c>
      <c r="F10" s="451"/>
      <c r="G10" s="515">
        <v>4409</v>
      </c>
      <c r="H10" s="515"/>
      <c r="I10" s="515">
        <v>4466</v>
      </c>
      <c r="J10" s="515">
        <f>595+1193</f>
        <v>1788</v>
      </c>
      <c r="K10" s="452"/>
      <c r="L10" s="395"/>
    </row>
    <row r="11" spans="1:12" x14ac:dyDescent="0.25">
      <c r="A11" s="388">
        <v>6</v>
      </c>
      <c r="B11" s="392" t="s">
        <v>792</v>
      </c>
      <c r="C11" s="446"/>
      <c r="D11" s="447"/>
      <c r="E11" s="447"/>
      <c r="F11" s="453"/>
      <c r="G11" s="516"/>
      <c r="H11" s="516"/>
      <c r="I11" s="516"/>
      <c r="J11" s="516"/>
      <c r="K11" s="454"/>
      <c r="L11" s="395"/>
    </row>
    <row r="12" spans="1:12" x14ac:dyDescent="0.25">
      <c r="A12" s="388">
        <v>7</v>
      </c>
      <c r="B12" s="396" t="s">
        <v>793</v>
      </c>
      <c r="C12" s="446">
        <f>+C10</f>
        <v>1040</v>
      </c>
      <c r="D12" s="447">
        <f>+D10</f>
        <v>3299</v>
      </c>
      <c r="E12" s="447">
        <f>+C12+D12</f>
        <v>4339</v>
      </c>
      <c r="F12" s="453"/>
      <c r="G12" s="516">
        <f>SUM(G10:G11)</f>
        <v>4409</v>
      </c>
      <c r="H12" s="516"/>
      <c r="I12" s="516">
        <f>SUM(I10:I11)</f>
        <v>4466</v>
      </c>
      <c r="J12" s="516">
        <f>SUM(J10:J11)</f>
        <v>1788</v>
      </c>
      <c r="K12" s="454"/>
      <c r="L12" s="395"/>
    </row>
    <row r="13" spans="1:12" x14ac:dyDescent="0.25">
      <c r="F13" s="455"/>
      <c r="G13" s="455"/>
      <c r="H13" s="455"/>
      <c r="I13" s="455"/>
      <c r="J13" s="455"/>
      <c r="K13" s="455"/>
    </row>
    <row r="15" spans="1:12" x14ac:dyDescent="0.25">
      <c r="C15" s="2" t="s">
        <v>827</v>
      </c>
      <c r="D15" s="2" t="s">
        <v>828</v>
      </c>
    </row>
  </sheetData>
  <sheetProtection algorithmName="SHA-512" hashValue="UXtNHN7vepYkWk+77LIA40I4+lQDFEk019Ree9PVMgvPv1XDF+58V4qQELdUQ9wH1g7BC83ow+nRXbvTorINhA==" saltValue="fGBPyxj+4cUPORzDwaImUA==" spinCount="100000" sheet="1" objects="1" scenarios="1"/>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&amp;CDA
Bilag XXXIII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378B6-06C5-4D69-B35F-DA59252F08BA}">
  <sheetPr>
    <tabColor theme="0" tint="-0.14999847407452621"/>
  </sheetPr>
  <dimension ref="A1:J15"/>
  <sheetViews>
    <sheetView workbookViewId="0">
      <selection activeCell="G24" sqref="G24"/>
    </sheetView>
  </sheetViews>
  <sheetFormatPr defaultRowHeight="15" x14ac:dyDescent="0.25"/>
  <cols>
    <col min="1" max="1" width="5.7109375" customWidth="1"/>
    <col min="2" max="2" width="47.140625" customWidth="1"/>
    <col min="3" max="7" width="17.7109375" customWidth="1"/>
    <col min="8" max="8" width="19.42578125" customWidth="1"/>
    <col min="9" max="10" width="17.7109375" customWidth="1"/>
  </cols>
  <sheetData>
    <row r="1" spans="1:10" ht="26.25" x14ac:dyDescent="0.25">
      <c r="A1" s="397"/>
      <c r="B1" s="398" t="s">
        <v>794</v>
      </c>
      <c r="C1" s="399"/>
      <c r="D1" s="340"/>
      <c r="E1" s="340"/>
      <c r="F1" s="340"/>
      <c r="G1" s="340"/>
      <c r="H1" s="340"/>
      <c r="I1" s="340"/>
      <c r="J1" s="340"/>
    </row>
    <row r="2" spans="1:10" ht="15.75" x14ac:dyDescent="0.25">
      <c r="A2" s="397"/>
      <c r="B2" s="400"/>
      <c r="C2" s="401"/>
      <c r="D2" s="401"/>
      <c r="E2" s="401"/>
      <c r="F2" s="401"/>
      <c r="G2" s="401"/>
      <c r="H2" s="401"/>
      <c r="I2" s="401"/>
      <c r="J2" s="397"/>
    </row>
    <row r="3" spans="1:10" ht="15.75" x14ac:dyDescent="0.25">
      <c r="A3" s="397"/>
      <c r="B3" s="400"/>
      <c r="C3" s="401"/>
      <c r="D3" s="401"/>
      <c r="E3" s="401"/>
      <c r="F3" s="401"/>
      <c r="G3" s="401"/>
      <c r="H3" s="401"/>
      <c r="I3" s="401"/>
      <c r="J3" s="397"/>
    </row>
    <row r="4" spans="1:10" x14ac:dyDescent="0.25">
      <c r="A4" s="397"/>
      <c r="B4" s="402"/>
      <c r="C4" s="690" t="s">
        <v>797</v>
      </c>
      <c r="D4" s="691"/>
      <c r="E4" s="692" t="s">
        <v>798</v>
      </c>
      <c r="F4" s="693"/>
      <c r="G4" s="690" t="s">
        <v>799</v>
      </c>
      <c r="H4" s="691"/>
      <c r="I4" s="692" t="s">
        <v>800</v>
      </c>
      <c r="J4" s="693"/>
    </row>
    <row r="5" spans="1:10" ht="90" x14ac:dyDescent="0.25">
      <c r="A5" s="397"/>
      <c r="B5" s="403"/>
      <c r="C5" s="404"/>
      <c r="D5" s="405" t="s">
        <v>801</v>
      </c>
      <c r="E5" s="404"/>
      <c r="F5" s="405" t="s">
        <v>801</v>
      </c>
      <c r="G5" s="404"/>
      <c r="H5" s="405" t="s">
        <v>802</v>
      </c>
      <c r="I5" s="406"/>
      <c r="J5" s="405" t="s">
        <v>802</v>
      </c>
    </row>
    <row r="6" spans="1:10" x14ac:dyDescent="0.25">
      <c r="A6" s="397"/>
      <c r="B6" s="407"/>
      <c r="C6" s="408" t="s">
        <v>335</v>
      </c>
      <c r="D6" s="408" t="s">
        <v>584</v>
      </c>
      <c r="E6" s="408" t="s">
        <v>586</v>
      </c>
      <c r="F6" s="408" t="s">
        <v>588</v>
      </c>
      <c r="G6" s="408" t="s">
        <v>590</v>
      </c>
      <c r="H6" s="408" t="s">
        <v>594</v>
      </c>
      <c r="I6" s="408" t="s">
        <v>596</v>
      </c>
      <c r="J6" s="408" t="s">
        <v>598</v>
      </c>
    </row>
    <row r="7" spans="1:10" x14ac:dyDescent="0.25">
      <c r="A7" s="409" t="s">
        <v>335</v>
      </c>
      <c r="B7" s="410" t="s">
        <v>803</v>
      </c>
      <c r="C7" s="110"/>
      <c r="D7" s="110"/>
      <c r="E7" s="411"/>
      <c r="F7" s="411"/>
      <c r="G7" s="110">
        <v>5076484</v>
      </c>
      <c r="H7" s="110"/>
      <c r="I7" s="412"/>
      <c r="J7" s="411"/>
    </row>
    <row r="8" spans="1:10" x14ac:dyDescent="0.25">
      <c r="A8" s="408" t="s">
        <v>584</v>
      </c>
      <c r="B8" s="413" t="s">
        <v>709</v>
      </c>
      <c r="C8" s="110"/>
      <c r="D8" s="110"/>
      <c r="E8" s="110"/>
      <c r="F8" s="110"/>
      <c r="G8" s="110">
        <v>172946</v>
      </c>
      <c r="H8" s="110"/>
      <c r="I8" s="414"/>
      <c r="J8" s="110"/>
    </row>
    <row r="9" spans="1:10" x14ac:dyDescent="0.25">
      <c r="A9" s="408" t="s">
        <v>586</v>
      </c>
      <c r="B9" s="413" t="s">
        <v>597</v>
      </c>
      <c r="C9" s="110"/>
      <c r="D9" s="110"/>
      <c r="E9" s="110"/>
      <c r="F9" s="110"/>
      <c r="G9" s="110">
        <v>1346358</v>
      </c>
      <c r="H9" s="110">
        <f>+G9</f>
        <v>1346358</v>
      </c>
      <c r="I9" s="110">
        <f>+H9</f>
        <v>1346358</v>
      </c>
      <c r="J9" s="110">
        <f>+I9</f>
        <v>1346358</v>
      </c>
    </row>
    <row r="10" spans="1:10" ht="30" x14ac:dyDescent="0.25">
      <c r="A10" s="408" t="s">
        <v>588</v>
      </c>
      <c r="B10" s="415" t="s">
        <v>804</v>
      </c>
      <c r="C10" s="110"/>
      <c r="D10" s="110"/>
      <c r="E10" s="110"/>
      <c r="F10" s="110"/>
      <c r="G10" s="110"/>
      <c r="H10" s="110"/>
      <c r="I10" s="110"/>
      <c r="J10" s="110"/>
    </row>
    <row r="11" spans="1:10" x14ac:dyDescent="0.25">
      <c r="A11" s="408" t="s">
        <v>590</v>
      </c>
      <c r="B11" s="416" t="s">
        <v>805</v>
      </c>
      <c r="C11" s="110"/>
      <c r="D11" s="110"/>
      <c r="E11" s="110"/>
      <c r="F11" s="110"/>
      <c r="G11" s="110"/>
      <c r="H11" s="110"/>
      <c r="I11" s="110"/>
      <c r="J11" s="110"/>
    </row>
    <row r="12" spans="1:10" ht="30" x14ac:dyDescent="0.25">
      <c r="A12" s="408" t="s">
        <v>592</v>
      </c>
      <c r="B12" s="415" t="s">
        <v>806</v>
      </c>
      <c r="C12" s="110"/>
      <c r="D12" s="110"/>
      <c r="E12" s="110"/>
      <c r="F12" s="110"/>
      <c r="G12" s="110"/>
      <c r="H12" s="110"/>
      <c r="I12" s="110"/>
      <c r="J12" s="110"/>
    </row>
    <row r="13" spans="1:10" x14ac:dyDescent="0.25">
      <c r="A13" s="408" t="s">
        <v>594</v>
      </c>
      <c r="B13" s="415" t="s">
        <v>807</v>
      </c>
      <c r="C13" s="110"/>
      <c r="D13" s="110"/>
      <c r="E13" s="110"/>
      <c r="F13" s="110"/>
      <c r="G13" s="110">
        <v>1346358</v>
      </c>
      <c r="H13" s="110"/>
      <c r="I13" s="110"/>
      <c r="J13" s="110"/>
    </row>
    <row r="14" spans="1:10" x14ac:dyDescent="0.25">
      <c r="A14" s="408" t="s">
        <v>596</v>
      </c>
      <c r="B14" s="415" t="s">
        <v>808</v>
      </c>
      <c r="C14" s="110"/>
      <c r="D14" s="110"/>
      <c r="E14" s="110"/>
      <c r="F14" s="110"/>
      <c r="G14" s="110"/>
      <c r="H14" s="110"/>
      <c r="I14" s="110"/>
      <c r="J14" s="110"/>
    </row>
    <row r="15" spans="1:10" x14ac:dyDescent="0.25">
      <c r="A15" s="408" t="s">
        <v>600</v>
      </c>
      <c r="B15" s="413" t="s">
        <v>164</v>
      </c>
      <c r="C15" s="110"/>
      <c r="D15" s="110"/>
      <c r="E15" s="417"/>
      <c r="F15" s="417"/>
      <c r="G15" s="110">
        <f>5076484-172946-1346358</f>
        <v>3557180</v>
      </c>
      <c r="H15" s="110"/>
      <c r="I15" s="418"/>
      <c r="J15" s="417"/>
    </row>
  </sheetData>
  <sheetProtection algorithmName="SHA-512" hashValue="DWMJNMBMtswIdldeWAQn28tlcdUuSCFdTWLdUGpZ1JuvxVrxpylAiYC4iwdOrBOEIV+hy6drR2ECBO8CXTrtCQ==" saltValue="fvFZCKa6lRex/+tngqfwPA==" spinCount="100000" sheet="1" objects="1" scenarios="1"/>
  <mergeCells count="4">
    <mergeCell ref="C4:D4"/>
    <mergeCell ref="E4:F4"/>
    <mergeCell ref="G4:H4"/>
    <mergeCell ref="I4:J4"/>
  </mergeCells>
  <conditionalFormatting sqref="C7:J1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&amp;CDA
Bilag XXXV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3FFC9-933B-47F6-88C1-BF02309DCE20}">
  <sheetPr>
    <tabColor theme="0" tint="-0.14999847407452621"/>
    <pageSetUpPr fitToPage="1"/>
  </sheetPr>
  <dimension ref="A1:G44"/>
  <sheetViews>
    <sheetView workbookViewId="0"/>
  </sheetViews>
  <sheetFormatPr defaultColWidth="9.140625" defaultRowHeight="15" x14ac:dyDescent="0.25"/>
  <cols>
    <col min="1" max="1" width="1" style="2" customWidth="1"/>
    <col min="2" max="2" width="7.85546875" style="2" customWidth="1"/>
    <col min="3" max="3" width="64.42578125" style="2" customWidth="1"/>
    <col min="4" max="4" width="13.85546875" style="2" customWidth="1"/>
    <col min="5" max="5" width="14.140625" style="2" customWidth="1"/>
    <col min="6" max="6" width="16.5703125" style="2" customWidth="1"/>
    <col min="7" max="7" width="9.140625" style="2" customWidth="1"/>
    <col min="8" max="16384" width="9.140625" style="2"/>
  </cols>
  <sheetData>
    <row r="1" spans="1:6" x14ac:dyDescent="0.25">
      <c r="A1" s="1"/>
      <c r="B1" s="1"/>
      <c r="C1" s="1"/>
      <c r="D1" s="1"/>
      <c r="E1" s="1"/>
      <c r="F1" s="1"/>
    </row>
    <row r="2" spans="1:6" x14ac:dyDescent="0.25">
      <c r="A2" s="1"/>
      <c r="B2" s="3" t="s">
        <v>0</v>
      </c>
    </row>
    <row r="3" spans="1:6" x14ac:dyDescent="0.25">
      <c r="A3" s="1"/>
    </row>
    <row r="4" spans="1:6" x14ac:dyDescent="0.25">
      <c r="A4" s="1"/>
    </row>
    <row r="5" spans="1:6" ht="45" x14ac:dyDescent="0.25">
      <c r="A5" s="1"/>
      <c r="B5" s="525"/>
      <c r="C5" s="526"/>
      <c r="D5" s="529" t="s">
        <v>1</v>
      </c>
      <c r="E5" s="529"/>
      <c r="F5" s="4" t="s">
        <v>831</v>
      </c>
    </row>
    <row r="6" spans="1:6" x14ac:dyDescent="0.25">
      <c r="A6" s="1"/>
      <c r="B6" s="525"/>
      <c r="C6" s="526"/>
      <c r="D6" s="4" t="s">
        <v>2</v>
      </c>
      <c r="E6" s="4" t="s">
        <v>3</v>
      </c>
      <c r="F6" s="4" t="s">
        <v>4</v>
      </c>
    </row>
    <row r="7" spans="1:6" x14ac:dyDescent="0.25">
      <c r="A7" s="1"/>
      <c r="B7" s="527"/>
      <c r="C7" s="528"/>
      <c r="D7" s="66">
        <v>44926</v>
      </c>
      <c r="E7" s="66">
        <v>44561</v>
      </c>
      <c r="F7" s="66">
        <v>44926</v>
      </c>
    </row>
    <row r="8" spans="1:6" x14ac:dyDescent="0.25">
      <c r="A8" s="1"/>
      <c r="B8" s="4">
        <v>1</v>
      </c>
      <c r="C8" s="5" t="s">
        <v>5</v>
      </c>
      <c r="D8" s="257">
        <f>1917612515/1000</f>
        <v>1917612.5149999999</v>
      </c>
      <c r="E8" s="257">
        <f>2021181</f>
        <v>2021181</v>
      </c>
      <c r="F8" s="257">
        <f>ROUND(D8*0.08,0)</f>
        <v>153409</v>
      </c>
    </row>
    <row r="9" spans="1:6" x14ac:dyDescent="0.25">
      <c r="A9" s="1"/>
      <c r="B9" s="4">
        <v>2</v>
      </c>
      <c r="C9" s="6" t="s">
        <v>6</v>
      </c>
      <c r="D9" s="257">
        <f>+D8</f>
        <v>1917612.5149999999</v>
      </c>
      <c r="E9" s="257">
        <f>+E8</f>
        <v>2021181</v>
      </c>
      <c r="F9" s="257">
        <f>ROUND(D9*0.08,0)</f>
        <v>153409</v>
      </c>
    </row>
    <row r="10" spans="1:6" ht="30" x14ac:dyDescent="0.25">
      <c r="A10" s="1"/>
      <c r="B10" s="4">
        <v>3</v>
      </c>
      <c r="C10" s="6" t="s">
        <v>7</v>
      </c>
      <c r="D10" s="257"/>
      <c r="E10" s="257"/>
      <c r="F10" s="5"/>
    </row>
    <row r="11" spans="1:6" x14ac:dyDescent="0.25">
      <c r="A11" s="1"/>
      <c r="B11" s="4">
        <v>4</v>
      </c>
      <c r="C11" s="6" t="s">
        <v>8</v>
      </c>
      <c r="D11" s="257"/>
      <c r="E11" s="257"/>
      <c r="F11" s="5"/>
    </row>
    <row r="12" spans="1:6" x14ac:dyDescent="0.25">
      <c r="A12" s="1"/>
      <c r="B12" s="4" t="s">
        <v>9</v>
      </c>
      <c r="C12" s="6" t="s">
        <v>10</v>
      </c>
      <c r="D12" s="257"/>
      <c r="E12" s="257"/>
      <c r="F12" s="5"/>
    </row>
    <row r="13" spans="1:6" ht="30" x14ac:dyDescent="0.25">
      <c r="A13" s="1"/>
      <c r="B13" s="4">
        <v>5</v>
      </c>
      <c r="C13" s="6" t="s">
        <v>11</v>
      </c>
      <c r="D13" s="257"/>
      <c r="E13" s="257"/>
      <c r="F13" s="5"/>
    </row>
    <row r="14" spans="1:6" x14ac:dyDescent="0.25">
      <c r="A14" s="1"/>
      <c r="B14" s="4">
        <v>6</v>
      </c>
      <c r="C14" s="5" t="s">
        <v>12</v>
      </c>
      <c r="D14" s="257"/>
      <c r="E14" s="257"/>
      <c r="F14" s="257"/>
    </row>
    <row r="15" spans="1:6" x14ac:dyDescent="0.25">
      <c r="A15" s="1"/>
      <c r="B15" s="4">
        <v>7</v>
      </c>
      <c r="C15" s="6" t="s">
        <v>6</v>
      </c>
      <c r="D15" s="257"/>
      <c r="E15" s="257"/>
      <c r="F15" s="257"/>
    </row>
    <row r="16" spans="1:6" x14ac:dyDescent="0.25">
      <c r="A16" s="1"/>
      <c r="B16" s="4">
        <v>8</v>
      </c>
      <c r="C16" s="6" t="s">
        <v>13</v>
      </c>
      <c r="D16" s="257"/>
      <c r="E16" s="257"/>
      <c r="F16" s="5"/>
    </row>
    <row r="17" spans="1:7" x14ac:dyDescent="0.25">
      <c r="A17" s="1"/>
      <c r="B17" s="4" t="s">
        <v>14</v>
      </c>
      <c r="C17" s="6" t="s">
        <v>15</v>
      </c>
      <c r="D17" s="257"/>
      <c r="E17" s="257"/>
      <c r="F17" s="5"/>
      <c r="G17" s="7"/>
    </row>
    <row r="18" spans="1:7" x14ac:dyDescent="0.25">
      <c r="A18" s="1"/>
      <c r="B18" s="4" t="s">
        <v>16</v>
      </c>
      <c r="C18" s="6" t="s">
        <v>17</v>
      </c>
      <c r="D18" s="257"/>
      <c r="E18" s="257"/>
      <c r="F18" s="257"/>
    </row>
    <row r="19" spans="1:7" x14ac:dyDescent="0.25">
      <c r="A19" s="1"/>
      <c r="B19" s="4">
        <v>9</v>
      </c>
      <c r="C19" s="6" t="s">
        <v>18</v>
      </c>
      <c r="D19" s="257"/>
      <c r="E19" s="257"/>
      <c r="F19" s="5"/>
    </row>
    <row r="20" spans="1:7" x14ac:dyDescent="0.25">
      <c r="A20" s="1"/>
      <c r="B20" s="4">
        <v>10</v>
      </c>
      <c r="C20" s="5" t="s">
        <v>19</v>
      </c>
      <c r="D20" s="258"/>
      <c r="E20" s="258"/>
      <c r="F20" s="8"/>
    </row>
    <row r="21" spans="1:7" x14ac:dyDescent="0.25">
      <c r="A21" s="1"/>
      <c r="B21" s="4">
        <v>11</v>
      </c>
      <c r="C21" s="5" t="s">
        <v>19</v>
      </c>
      <c r="D21" s="258"/>
      <c r="E21" s="258"/>
      <c r="F21" s="8"/>
    </row>
    <row r="22" spans="1:7" x14ac:dyDescent="0.25">
      <c r="A22" s="1"/>
      <c r="B22" s="4">
        <v>12</v>
      </c>
      <c r="C22" s="5" t="s">
        <v>19</v>
      </c>
      <c r="D22" s="258"/>
      <c r="E22" s="258"/>
      <c r="F22" s="8"/>
    </row>
    <row r="23" spans="1:7" x14ac:dyDescent="0.25">
      <c r="A23" s="1"/>
      <c r="B23" s="4">
        <v>13</v>
      </c>
      <c r="C23" s="5" t="s">
        <v>19</v>
      </c>
      <c r="D23" s="258"/>
      <c r="E23" s="258"/>
      <c r="F23" s="8"/>
    </row>
    <row r="24" spans="1:7" x14ac:dyDescent="0.25">
      <c r="A24" s="1"/>
      <c r="B24" s="4">
        <v>14</v>
      </c>
      <c r="C24" s="5" t="s">
        <v>19</v>
      </c>
      <c r="D24" s="258"/>
      <c r="E24" s="258"/>
      <c r="F24" s="8"/>
    </row>
    <row r="25" spans="1:7" x14ac:dyDescent="0.25">
      <c r="A25" s="1"/>
      <c r="B25" s="4">
        <v>15</v>
      </c>
      <c r="C25" s="5" t="s">
        <v>20</v>
      </c>
      <c r="D25" s="257"/>
      <c r="E25" s="257"/>
      <c r="F25" s="5"/>
    </row>
    <row r="26" spans="1:7" ht="15" customHeight="1" x14ac:dyDescent="0.25">
      <c r="A26" s="1"/>
      <c r="B26" s="4">
        <v>16</v>
      </c>
      <c r="C26" s="5" t="s">
        <v>21</v>
      </c>
      <c r="D26" s="257"/>
      <c r="E26" s="257"/>
      <c r="F26" s="5"/>
    </row>
    <row r="27" spans="1:7" x14ac:dyDescent="0.25">
      <c r="A27" s="1"/>
      <c r="B27" s="4">
        <v>17</v>
      </c>
      <c r="C27" s="6" t="s">
        <v>22</v>
      </c>
      <c r="D27" s="257"/>
      <c r="E27" s="257"/>
      <c r="F27" s="5"/>
    </row>
    <row r="28" spans="1:7" x14ac:dyDescent="0.25">
      <c r="A28" s="1"/>
      <c r="B28" s="4">
        <v>18</v>
      </c>
      <c r="C28" s="6" t="s">
        <v>23</v>
      </c>
      <c r="D28" s="257"/>
      <c r="E28" s="257"/>
      <c r="F28" s="5"/>
    </row>
    <row r="29" spans="1:7" x14ac:dyDescent="0.25">
      <c r="A29" s="1"/>
      <c r="B29" s="4">
        <v>19</v>
      </c>
      <c r="C29" s="6" t="s">
        <v>24</v>
      </c>
      <c r="D29" s="257"/>
      <c r="E29" s="257"/>
      <c r="F29" s="5"/>
    </row>
    <row r="30" spans="1:7" x14ac:dyDescent="0.25">
      <c r="A30" s="1"/>
      <c r="B30" s="4" t="s">
        <v>25</v>
      </c>
      <c r="C30" s="6" t="s">
        <v>26</v>
      </c>
      <c r="D30" s="257"/>
      <c r="E30" s="257"/>
      <c r="F30" s="5"/>
    </row>
    <row r="31" spans="1:7" x14ac:dyDescent="0.25">
      <c r="A31" s="1"/>
      <c r="B31" s="4">
        <v>20</v>
      </c>
      <c r="C31" s="5" t="s">
        <v>27</v>
      </c>
      <c r="D31" s="257">
        <f>232887249/1000+90023/1000</f>
        <v>232977.272</v>
      </c>
      <c r="E31" s="257">
        <f>179380+97</f>
        <v>179477</v>
      </c>
      <c r="F31" s="257">
        <f>ROUND(D31*0.08,0)</f>
        <v>18638</v>
      </c>
    </row>
    <row r="32" spans="1:7" x14ac:dyDescent="0.25">
      <c r="A32" s="1"/>
      <c r="B32" s="4">
        <v>21</v>
      </c>
      <c r="C32" s="6" t="s">
        <v>6</v>
      </c>
      <c r="D32" s="257"/>
      <c r="E32" s="257"/>
      <c r="F32" s="5"/>
    </row>
    <row r="33" spans="1:6" x14ac:dyDescent="0.25">
      <c r="A33" s="1"/>
      <c r="B33" s="4">
        <v>22</v>
      </c>
      <c r="C33" s="6" t="s">
        <v>28</v>
      </c>
      <c r="D33" s="257"/>
      <c r="E33" s="257"/>
      <c r="F33" s="5"/>
    </row>
    <row r="34" spans="1:6" x14ac:dyDescent="0.25">
      <c r="A34" s="1"/>
      <c r="B34" s="4" t="s">
        <v>29</v>
      </c>
      <c r="C34" s="5" t="s">
        <v>30</v>
      </c>
      <c r="D34" s="257"/>
      <c r="E34" s="257"/>
      <c r="F34" s="5"/>
    </row>
    <row r="35" spans="1:6" x14ac:dyDescent="0.25">
      <c r="A35" s="1"/>
      <c r="B35" s="4">
        <v>23</v>
      </c>
      <c r="C35" s="5" t="s">
        <v>31</v>
      </c>
      <c r="D35" s="258"/>
      <c r="E35" s="258"/>
      <c r="F35" s="8"/>
    </row>
    <row r="36" spans="1:6" x14ac:dyDescent="0.25">
      <c r="A36" s="1"/>
      <c r="B36" s="4" t="s">
        <v>32</v>
      </c>
      <c r="C36" s="5" t="s">
        <v>33</v>
      </c>
      <c r="D36" s="257">
        <f>404211000/1000</f>
        <v>404211</v>
      </c>
      <c r="E36" s="257">
        <v>401221</v>
      </c>
      <c r="F36" s="257">
        <f>ROUND(D36*0.08,0)</f>
        <v>32337</v>
      </c>
    </row>
    <row r="37" spans="1:6" x14ac:dyDescent="0.25">
      <c r="A37" s="1"/>
      <c r="B37" s="4" t="s">
        <v>34</v>
      </c>
      <c r="C37" s="5" t="s">
        <v>6</v>
      </c>
      <c r="D37" s="257"/>
      <c r="E37" s="257"/>
      <c r="F37" s="5"/>
    </row>
    <row r="38" spans="1:6" x14ac:dyDescent="0.25">
      <c r="A38" s="1"/>
      <c r="B38" s="4" t="s">
        <v>35</v>
      </c>
      <c r="C38" s="5" t="s">
        <v>36</v>
      </c>
      <c r="D38" s="257"/>
      <c r="E38" s="257"/>
      <c r="F38" s="5"/>
    </row>
    <row r="39" spans="1:6" ht="30" x14ac:dyDescent="0.25">
      <c r="A39" s="1"/>
      <c r="B39" s="4">
        <v>24</v>
      </c>
      <c r="C39" s="5" t="s">
        <v>37</v>
      </c>
      <c r="D39" s="257"/>
      <c r="E39" s="257"/>
      <c r="F39" s="5"/>
    </row>
    <row r="40" spans="1:6" x14ac:dyDescent="0.25">
      <c r="A40" s="1"/>
      <c r="B40" s="4">
        <v>25</v>
      </c>
      <c r="C40" s="5" t="s">
        <v>19</v>
      </c>
      <c r="D40" s="258"/>
      <c r="E40" s="258"/>
      <c r="F40" s="8"/>
    </row>
    <row r="41" spans="1:6" x14ac:dyDescent="0.25">
      <c r="A41" s="1"/>
      <c r="B41" s="4">
        <v>26</v>
      </c>
      <c r="C41" s="5" t="s">
        <v>19</v>
      </c>
      <c r="D41" s="258"/>
      <c r="E41" s="258"/>
      <c r="F41" s="8"/>
    </row>
    <row r="42" spans="1:6" x14ac:dyDescent="0.25">
      <c r="A42" s="1"/>
      <c r="B42" s="4">
        <v>27</v>
      </c>
      <c r="C42" s="5" t="s">
        <v>19</v>
      </c>
      <c r="D42" s="258"/>
      <c r="E42" s="258"/>
      <c r="F42" s="8"/>
    </row>
    <row r="43" spans="1:6" x14ac:dyDescent="0.25">
      <c r="A43" s="1"/>
      <c r="B43" s="4">
        <v>28</v>
      </c>
      <c r="C43" s="5" t="s">
        <v>19</v>
      </c>
      <c r="D43" s="258"/>
      <c r="E43" s="258"/>
      <c r="F43" s="8"/>
    </row>
    <row r="44" spans="1:6" x14ac:dyDescent="0.25">
      <c r="A44" s="1"/>
      <c r="B44" s="9">
        <v>29</v>
      </c>
      <c r="C44" s="10" t="s">
        <v>38</v>
      </c>
      <c r="D44" s="259">
        <f>+D8+D14+D31+D36</f>
        <v>2554800.787</v>
      </c>
      <c r="E44" s="259">
        <f>+E8+E14+E31+E36</f>
        <v>2601879</v>
      </c>
      <c r="F44" s="259">
        <f>+F8+F14+F31+F36</f>
        <v>204384</v>
      </c>
    </row>
  </sheetData>
  <mergeCells count="2">
    <mergeCell ref="B5:C7"/>
    <mergeCell ref="D5:E5"/>
  </mergeCells>
  <pageMargins left="0.7" right="0.7" top="0.75" bottom="0.75" header="0.3" footer="0.3"/>
  <pageSetup paperSize="9" scale="74" orientation="portrait" r:id="rId1"/>
  <headerFooter>
    <oddHeader>&amp;CDA
Bilag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CAA10-F0F2-4085-A27C-4A889821ED15}">
  <sheetPr>
    <tabColor theme="0" tint="-0.14999847407452621"/>
    <pageSetUpPr fitToPage="1"/>
  </sheetPr>
  <dimension ref="A1:J146"/>
  <sheetViews>
    <sheetView workbookViewId="0"/>
  </sheetViews>
  <sheetFormatPr defaultRowHeight="15" x14ac:dyDescent="0.25"/>
  <cols>
    <col min="1" max="1" width="4.42578125" style="261" customWidth="1"/>
    <col min="2" max="2" width="8.42578125" style="261" customWidth="1"/>
    <col min="3" max="3" width="70.140625" style="261" customWidth="1"/>
    <col min="4" max="6" width="13.7109375" style="261" bestFit="1" customWidth="1"/>
    <col min="7" max="7" width="11.5703125" style="261" customWidth="1"/>
    <col min="8" max="8" width="10.5703125" style="261" customWidth="1"/>
    <col min="9" max="10" width="15.140625" style="261" hidden="1" customWidth="1"/>
    <col min="11" max="16384" width="9.140625" style="261"/>
  </cols>
  <sheetData>
    <row r="1" spans="1:10" customFormat="1" x14ac:dyDescent="0.25">
      <c r="A1" s="11"/>
      <c r="G1" s="261"/>
      <c r="H1" s="261"/>
    </row>
    <row r="2" spans="1:10" customFormat="1" x14ac:dyDescent="0.25">
      <c r="A2" s="11"/>
      <c r="B2" s="26" t="s">
        <v>101</v>
      </c>
      <c r="G2" s="261"/>
      <c r="H2" s="261"/>
    </row>
    <row r="3" spans="1:10" customFormat="1" x14ac:dyDescent="0.25">
      <c r="A3" s="11"/>
      <c r="B3" s="26"/>
      <c r="G3" s="261"/>
      <c r="H3" s="261"/>
    </row>
    <row r="4" spans="1:10" customFormat="1" x14ac:dyDescent="0.25">
      <c r="A4" s="11"/>
      <c r="G4" s="261"/>
      <c r="H4" s="261"/>
    </row>
    <row r="5" spans="1:10" customFormat="1" x14ac:dyDescent="0.25">
      <c r="A5" s="11"/>
      <c r="B5" s="25"/>
      <c r="C5" s="24"/>
      <c r="D5" s="21" t="s">
        <v>2</v>
      </c>
      <c r="E5" s="21" t="s">
        <v>3</v>
      </c>
      <c r="F5" s="21" t="s">
        <v>4</v>
      </c>
      <c r="G5" s="31" t="s">
        <v>100</v>
      </c>
      <c r="H5" s="31" t="s">
        <v>99</v>
      </c>
    </row>
    <row r="6" spans="1:10" customFormat="1" x14ac:dyDescent="0.25">
      <c r="A6" s="11"/>
      <c r="B6" s="23"/>
      <c r="C6" s="22"/>
      <c r="D6" s="34">
        <v>44926</v>
      </c>
      <c r="E6" s="498">
        <v>44742</v>
      </c>
      <c r="F6" s="34">
        <v>44561</v>
      </c>
      <c r="G6" s="31" t="s">
        <v>98</v>
      </c>
      <c r="H6" s="31" t="s">
        <v>97</v>
      </c>
      <c r="J6" t="s">
        <v>161</v>
      </c>
    </row>
    <row r="7" spans="1:10" customFormat="1" x14ac:dyDescent="0.25">
      <c r="A7" s="11"/>
      <c r="B7" s="20"/>
      <c r="C7" s="533" t="s">
        <v>96</v>
      </c>
      <c r="D7" s="534"/>
      <c r="E7" s="534"/>
      <c r="F7" s="534"/>
      <c r="G7" s="534"/>
      <c r="H7" s="535"/>
    </row>
    <row r="8" spans="1:10" customFormat="1" x14ac:dyDescent="0.25">
      <c r="A8" s="11"/>
      <c r="B8" s="12">
        <v>1</v>
      </c>
      <c r="C8" s="19" t="s">
        <v>95</v>
      </c>
      <c r="D8" s="30">
        <v>458215</v>
      </c>
      <c r="E8" s="68">
        <v>446181</v>
      </c>
      <c r="F8" s="30">
        <v>455858</v>
      </c>
      <c r="G8" s="32"/>
      <c r="H8" s="32"/>
      <c r="J8" s="27" t="s">
        <v>104</v>
      </c>
    </row>
    <row r="9" spans="1:10" customFormat="1" x14ac:dyDescent="0.25">
      <c r="A9" s="11"/>
      <c r="B9" s="12">
        <v>2</v>
      </c>
      <c r="C9" s="19" t="s">
        <v>94</v>
      </c>
      <c r="D9" s="30">
        <v>508215</v>
      </c>
      <c r="E9" s="68">
        <v>496181</v>
      </c>
      <c r="F9" s="30">
        <v>505858</v>
      </c>
      <c r="G9" s="32"/>
      <c r="H9" s="32"/>
    </row>
    <row r="10" spans="1:10" customFormat="1" x14ac:dyDescent="0.25">
      <c r="A10" s="11"/>
      <c r="B10" s="12">
        <v>3</v>
      </c>
      <c r="C10" s="19" t="s">
        <v>93</v>
      </c>
      <c r="D10" s="30">
        <v>586681</v>
      </c>
      <c r="E10" s="68">
        <v>550944</v>
      </c>
      <c r="F10" s="30">
        <v>560556</v>
      </c>
      <c r="G10" s="32"/>
      <c r="H10" s="32"/>
      <c r="J10" t="s">
        <v>103</v>
      </c>
    </row>
    <row r="11" spans="1:10" customFormat="1" x14ac:dyDescent="0.25">
      <c r="A11" s="11"/>
      <c r="B11" s="15"/>
      <c r="C11" s="530" t="s">
        <v>92</v>
      </c>
      <c r="D11" s="531"/>
      <c r="E11" s="531"/>
      <c r="F11" s="531"/>
      <c r="G11" s="531"/>
      <c r="H11" s="532"/>
    </row>
    <row r="12" spans="1:10" customFormat="1" x14ac:dyDescent="0.25">
      <c r="A12" s="11"/>
      <c r="B12" s="12">
        <v>4</v>
      </c>
      <c r="C12" s="19" t="s">
        <v>91</v>
      </c>
      <c r="D12" s="30">
        <f>+'EU OV1'!D44</f>
        <v>2554800.787</v>
      </c>
      <c r="E12" s="30">
        <v>2764207</v>
      </c>
      <c r="F12" s="30">
        <v>2601879</v>
      </c>
      <c r="G12" s="32"/>
      <c r="H12" s="32"/>
    </row>
    <row r="13" spans="1:10" customFormat="1" ht="15" customHeight="1" x14ac:dyDescent="0.25">
      <c r="A13" s="11"/>
      <c r="B13" s="15"/>
      <c r="C13" s="536" t="s">
        <v>90</v>
      </c>
      <c r="D13" s="537"/>
      <c r="E13" s="537"/>
      <c r="F13" s="537"/>
      <c r="G13" s="537"/>
      <c r="H13" s="538"/>
    </row>
    <row r="14" spans="1:10" customFormat="1" x14ac:dyDescent="0.25">
      <c r="A14" s="11"/>
      <c r="B14" s="12">
        <v>5</v>
      </c>
      <c r="C14" s="19" t="s">
        <v>89</v>
      </c>
      <c r="D14" s="478">
        <f>+D8/D12*100</f>
        <v>17.935449305151636</v>
      </c>
      <c r="E14" s="478">
        <f>+E8/E12*100</f>
        <v>16.14137436161619</v>
      </c>
      <c r="F14" s="478">
        <f>+F8/F12*100</f>
        <v>17.520338186364544</v>
      </c>
      <c r="G14" s="32"/>
      <c r="H14" s="32"/>
    </row>
    <row r="15" spans="1:10" customFormat="1" x14ac:dyDescent="0.25">
      <c r="A15" s="11"/>
      <c r="B15" s="12">
        <v>6</v>
      </c>
      <c r="C15" s="19" t="s">
        <v>88</v>
      </c>
      <c r="D15" s="478">
        <f>+D9/D12*100</f>
        <v>19.892549062378222</v>
      </c>
      <c r="E15" s="478">
        <f>+E9/E12*100</f>
        <v>17.950211398784536</v>
      </c>
      <c r="F15" s="478">
        <f>+F9/F12*100</f>
        <v>19.442026320209358</v>
      </c>
      <c r="G15" s="32"/>
      <c r="H15" s="32"/>
    </row>
    <row r="16" spans="1:10" customFormat="1" x14ac:dyDescent="0.25">
      <c r="A16" s="11"/>
      <c r="B16" s="12">
        <v>7</v>
      </c>
      <c r="C16" s="19" t="s">
        <v>87</v>
      </c>
      <c r="D16" s="478">
        <f>+D10/D12*100</f>
        <v>22.963864853389058</v>
      </c>
      <c r="E16" s="478">
        <f>+E10/E12*100</f>
        <v>19.931358252113533</v>
      </c>
      <c r="F16" s="478">
        <f>+F10/F12*100</f>
        <v>21.544276271110224</v>
      </c>
      <c r="G16" s="32"/>
      <c r="H16" s="32"/>
    </row>
    <row r="17" spans="1:8" customFormat="1" ht="29.1" customHeight="1" x14ac:dyDescent="0.25">
      <c r="A17" s="11"/>
      <c r="B17" s="15"/>
      <c r="C17" s="539" t="s">
        <v>86</v>
      </c>
      <c r="D17" s="540"/>
      <c r="E17" s="540"/>
      <c r="F17" s="540"/>
      <c r="G17" s="540"/>
      <c r="H17" s="541"/>
    </row>
    <row r="18" spans="1:8" customFormat="1" ht="30" x14ac:dyDescent="0.25">
      <c r="A18" s="11"/>
      <c r="B18" s="12" t="s">
        <v>85</v>
      </c>
      <c r="C18" s="5" t="s">
        <v>84</v>
      </c>
      <c r="D18" s="467">
        <v>2.4E-2</v>
      </c>
      <c r="E18" s="467">
        <v>1.4999999999999999E-2</v>
      </c>
      <c r="F18" s="32"/>
      <c r="G18" s="32"/>
      <c r="H18" s="32"/>
    </row>
    <row r="19" spans="1:8" customFormat="1" x14ac:dyDescent="0.25">
      <c r="A19" s="11"/>
      <c r="B19" s="12" t="s">
        <v>83</v>
      </c>
      <c r="C19" s="5" t="s">
        <v>58</v>
      </c>
      <c r="D19" s="467">
        <f>+D18/8*4.5</f>
        <v>1.35E-2</v>
      </c>
      <c r="E19" s="467">
        <f>+E18/8*4.5</f>
        <v>8.4375000000000006E-3</v>
      </c>
      <c r="F19" s="32"/>
      <c r="G19" s="32"/>
      <c r="H19" s="32"/>
    </row>
    <row r="20" spans="1:8" customFormat="1" x14ac:dyDescent="0.25">
      <c r="A20" s="11"/>
      <c r="B20" s="12" t="s">
        <v>82</v>
      </c>
      <c r="C20" s="5" t="s">
        <v>81</v>
      </c>
      <c r="D20" s="467">
        <f>+D18/8*6</f>
        <v>1.8000000000000002E-2</v>
      </c>
      <c r="E20" s="467">
        <f>+E18/8*6</f>
        <v>1.125E-2</v>
      </c>
      <c r="F20" s="32"/>
      <c r="G20" s="32"/>
      <c r="H20" s="32"/>
    </row>
    <row r="21" spans="1:8" customFormat="1" x14ac:dyDescent="0.25">
      <c r="A21" s="11"/>
      <c r="B21" s="12" t="s">
        <v>80</v>
      </c>
      <c r="C21" s="5" t="s">
        <v>79</v>
      </c>
      <c r="D21" s="467">
        <v>0.1037</v>
      </c>
      <c r="E21" s="70">
        <v>9.5000000000000001E-2</v>
      </c>
      <c r="F21" s="32"/>
      <c r="G21" s="32"/>
      <c r="H21" s="32"/>
    </row>
    <row r="22" spans="1:8" customFormat="1" ht="15.75" customHeight="1" x14ac:dyDescent="0.25">
      <c r="A22" s="11"/>
      <c r="B22" s="15"/>
      <c r="C22" s="539" t="s">
        <v>78</v>
      </c>
      <c r="D22" s="540"/>
      <c r="E22" s="540"/>
      <c r="F22" s="540"/>
      <c r="G22" s="540"/>
      <c r="H22" s="541"/>
    </row>
    <row r="23" spans="1:8" customFormat="1" x14ac:dyDescent="0.25">
      <c r="A23" s="11"/>
      <c r="B23" s="12">
        <v>8</v>
      </c>
      <c r="C23" s="19" t="s">
        <v>77</v>
      </c>
      <c r="D23" s="35">
        <v>2.5000000000000001E-2</v>
      </c>
      <c r="E23" s="35">
        <v>2.5000000000000001E-2</v>
      </c>
      <c r="F23" s="32"/>
      <c r="G23" s="32"/>
      <c r="H23" s="32"/>
    </row>
    <row r="24" spans="1:8" customFormat="1" ht="30" x14ac:dyDescent="0.25">
      <c r="A24" s="11"/>
      <c r="B24" s="12" t="s">
        <v>14</v>
      </c>
      <c r="C24" s="19" t="s">
        <v>76</v>
      </c>
      <c r="D24" s="36">
        <v>0</v>
      </c>
      <c r="E24" s="36">
        <v>0</v>
      </c>
      <c r="F24" s="32"/>
      <c r="G24" s="32"/>
      <c r="H24" s="32"/>
    </row>
    <row r="25" spans="1:8" customFormat="1" x14ac:dyDescent="0.25">
      <c r="A25" s="11"/>
      <c r="B25" s="12">
        <v>9</v>
      </c>
      <c r="C25" s="496" t="s">
        <v>75</v>
      </c>
      <c r="D25" s="36">
        <v>0.02</v>
      </c>
      <c r="E25" s="36">
        <v>0</v>
      </c>
      <c r="F25" s="32"/>
      <c r="G25" s="32"/>
      <c r="H25" s="32"/>
    </row>
    <row r="26" spans="1:8" customFormat="1" x14ac:dyDescent="0.25">
      <c r="A26" s="11"/>
      <c r="B26" s="12" t="s">
        <v>74</v>
      </c>
      <c r="C26" s="19" t="s">
        <v>73</v>
      </c>
      <c r="D26" s="36">
        <v>0</v>
      </c>
      <c r="E26" s="36">
        <v>0</v>
      </c>
      <c r="F26" s="32"/>
      <c r="G26" s="32"/>
      <c r="H26" s="32"/>
    </row>
    <row r="27" spans="1:8" customFormat="1" x14ac:dyDescent="0.25">
      <c r="A27" s="11"/>
      <c r="B27" s="12">
        <v>10</v>
      </c>
      <c r="C27" s="19" t="s">
        <v>72</v>
      </c>
      <c r="D27" s="36">
        <v>0</v>
      </c>
      <c r="E27" s="36">
        <v>0</v>
      </c>
      <c r="F27" s="32"/>
      <c r="G27" s="32"/>
      <c r="H27" s="32"/>
    </row>
    <row r="28" spans="1:8" customFormat="1" x14ac:dyDescent="0.25">
      <c r="A28" s="11"/>
      <c r="B28" s="12" t="s">
        <v>71</v>
      </c>
      <c r="C28" s="5" t="s">
        <v>70</v>
      </c>
      <c r="D28" s="36">
        <v>0</v>
      </c>
      <c r="E28" s="36">
        <v>0</v>
      </c>
      <c r="F28" s="32"/>
      <c r="G28" s="32"/>
      <c r="H28" s="32"/>
    </row>
    <row r="29" spans="1:8" customFormat="1" x14ac:dyDescent="0.25">
      <c r="A29" s="11"/>
      <c r="B29" s="12">
        <v>11</v>
      </c>
      <c r="C29" s="19" t="s">
        <v>69</v>
      </c>
      <c r="D29" s="35">
        <f>+D23+D25+D27</f>
        <v>4.4999999999999998E-2</v>
      </c>
      <c r="E29" s="35">
        <v>2.5000000000000001E-2</v>
      </c>
      <c r="F29" s="32"/>
      <c r="G29" s="32"/>
      <c r="H29" s="32"/>
    </row>
    <row r="30" spans="1:8" customFormat="1" x14ac:dyDescent="0.25">
      <c r="A30" s="11"/>
      <c r="B30" s="12" t="s">
        <v>68</v>
      </c>
      <c r="C30" s="19" t="s">
        <v>67</v>
      </c>
      <c r="D30" s="70">
        <f>+D21+D29</f>
        <v>0.1487</v>
      </c>
      <c r="E30" s="70">
        <f>+E21+E29</f>
        <v>0.12</v>
      </c>
      <c r="F30" s="32"/>
      <c r="G30" s="32"/>
      <c r="H30" s="32"/>
    </row>
    <row r="31" spans="1:8" customFormat="1" ht="14.45" customHeight="1" x14ac:dyDescent="0.25">
      <c r="A31" s="11"/>
      <c r="B31" s="12">
        <v>12</v>
      </c>
      <c r="C31" s="496" t="s">
        <v>66</v>
      </c>
      <c r="D31" s="467">
        <v>7.5800000000000006E-2</v>
      </c>
      <c r="E31" s="70">
        <v>7.9299999999999995E-2</v>
      </c>
      <c r="F31" s="32"/>
      <c r="G31" s="32"/>
      <c r="H31" s="32"/>
    </row>
    <row r="32" spans="1:8" customFormat="1" x14ac:dyDescent="0.25">
      <c r="A32" s="11"/>
      <c r="B32" s="15"/>
      <c r="C32" s="530" t="s">
        <v>65</v>
      </c>
      <c r="D32" s="531"/>
      <c r="E32" s="531"/>
      <c r="F32" s="531"/>
      <c r="G32" s="531"/>
      <c r="H32" s="532"/>
    </row>
    <row r="33" spans="1:10" customFormat="1" x14ac:dyDescent="0.25">
      <c r="A33" s="11"/>
      <c r="B33" s="12">
        <v>13</v>
      </c>
      <c r="C33" s="13" t="s">
        <v>64</v>
      </c>
      <c r="D33" s="68">
        <v>5084715</v>
      </c>
      <c r="E33" s="68">
        <v>5199992</v>
      </c>
      <c r="F33" s="68">
        <v>4973226</v>
      </c>
      <c r="G33" s="32"/>
      <c r="H33" s="32"/>
      <c r="J33" s="27" t="s">
        <v>111</v>
      </c>
    </row>
    <row r="34" spans="1:10" customFormat="1" x14ac:dyDescent="0.25">
      <c r="A34" s="11"/>
      <c r="B34" s="4">
        <v>14</v>
      </c>
      <c r="C34" s="16" t="s">
        <v>63</v>
      </c>
      <c r="D34" s="479">
        <v>0.1</v>
      </c>
      <c r="E34" s="467">
        <v>9.5000000000000001E-2</v>
      </c>
      <c r="F34" s="479">
        <v>0.10199999999999999</v>
      </c>
      <c r="G34" s="32"/>
      <c r="H34" s="32"/>
    </row>
    <row r="35" spans="1:10" customFormat="1" x14ac:dyDescent="0.25">
      <c r="B35" s="15"/>
      <c r="C35" s="539" t="s">
        <v>62</v>
      </c>
      <c r="D35" s="540"/>
      <c r="E35" s="540"/>
      <c r="F35" s="540"/>
      <c r="G35" s="540"/>
      <c r="H35" s="541"/>
    </row>
    <row r="36" spans="1:10" s="17" customFormat="1" ht="30" x14ac:dyDescent="0.25">
      <c r="B36" s="4" t="s">
        <v>61</v>
      </c>
      <c r="C36" s="5" t="s">
        <v>60</v>
      </c>
      <c r="D36" s="37">
        <v>0</v>
      </c>
      <c r="E36" s="37">
        <v>0</v>
      </c>
      <c r="F36" s="33"/>
      <c r="G36" s="33"/>
      <c r="H36" s="33"/>
    </row>
    <row r="37" spans="1:10" s="17" customFormat="1" x14ac:dyDescent="0.25">
      <c r="B37" s="4" t="s">
        <v>59</v>
      </c>
      <c r="C37" s="5" t="s">
        <v>58</v>
      </c>
      <c r="D37" s="37">
        <v>0</v>
      </c>
      <c r="E37" s="37">
        <v>0</v>
      </c>
      <c r="F37" s="33"/>
      <c r="G37" s="33"/>
      <c r="H37" s="33"/>
    </row>
    <row r="38" spans="1:10" s="17" customFormat="1" x14ac:dyDescent="0.25">
      <c r="B38" s="4" t="s">
        <v>57</v>
      </c>
      <c r="C38" s="523" t="s">
        <v>56</v>
      </c>
      <c r="D38" s="481">
        <v>0.03</v>
      </c>
      <c r="E38" s="481">
        <v>0.03</v>
      </c>
      <c r="F38" s="480"/>
      <c r="G38" s="480"/>
      <c r="H38" s="480"/>
    </row>
    <row r="39" spans="1:10" s="17" customFormat="1" x14ac:dyDescent="0.25">
      <c r="B39" s="15"/>
      <c r="C39" s="539" t="s">
        <v>55</v>
      </c>
      <c r="D39" s="540"/>
      <c r="E39" s="540"/>
      <c r="F39" s="540"/>
      <c r="G39" s="540"/>
      <c r="H39" s="541"/>
    </row>
    <row r="40" spans="1:10" s="17" customFormat="1" x14ac:dyDescent="0.25">
      <c r="B40" s="4" t="s">
        <v>54</v>
      </c>
      <c r="C40" s="18" t="s">
        <v>53</v>
      </c>
      <c r="D40" s="481">
        <v>0</v>
      </c>
      <c r="E40" s="481">
        <v>0</v>
      </c>
      <c r="F40" s="480"/>
      <c r="G40" s="480"/>
      <c r="H40" s="480"/>
    </row>
    <row r="41" spans="1:10" s="17" customFormat="1" x14ac:dyDescent="0.25">
      <c r="B41" s="4" t="s">
        <v>52</v>
      </c>
      <c r="C41" s="524" t="s">
        <v>51</v>
      </c>
      <c r="D41" s="481">
        <v>0.03</v>
      </c>
      <c r="E41" s="481">
        <v>0.03</v>
      </c>
      <c r="F41" s="480"/>
      <c r="G41" s="480"/>
      <c r="H41" s="480"/>
    </row>
    <row r="42" spans="1:10" customFormat="1" x14ac:dyDescent="0.25">
      <c r="A42" s="11"/>
      <c r="B42" s="15"/>
      <c r="C42" s="530" t="s">
        <v>50</v>
      </c>
      <c r="D42" s="531"/>
      <c r="E42" s="531"/>
      <c r="F42" s="531"/>
      <c r="G42" s="531"/>
      <c r="H42" s="532"/>
    </row>
    <row r="43" spans="1:10" customFormat="1" x14ac:dyDescent="0.25">
      <c r="A43" s="11"/>
      <c r="B43" s="12">
        <v>15</v>
      </c>
      <c r="C43" s="13" t="s">
        <v>49</v>
      </c>
      <c r="D43" s="466">
        <v>2192560</v>
      </c>
      <c r="E43" s="466">
        <v>1885267</v>
      </c>
      <c r="F43" s="32"/>
      <c r="G43" s="32"/>
      <c r="H43" s="32"/>
      <c r="J43" t="s">
        <v>105</v>
      </c>
    </row>
    <row r="44" spans="1:10" customFormat="1" x14ac:dyDescent="0.25">
      <c r="A44" s="11"/>
      <c r="B44" s="4" t="s">
        <v>48</v>
      </c>
      <c r="C44" s="16" t="s">
        <v>47</v>
      </c>
      <c r="D44" s="466">
        <v>489562</v>
      </c>
      <c r="E44" s="466">
        <v>500245</v>
      </c>
      <c r="F44" s="32"/>
      <c r="G44" s="32"/>
      <c r="H44" s="32"/>
      <c r="J44" t="s">
        <v>106</v>
      </c>
    </row>
    <row r="45" spans="1:10" customFormat="1" x14ac:dyDescent="0.25">
      <c r="A45" s="11"/>
      <c r="B45" s="4" t="s">
        <v>46</v>
      </c>
      <c r="C45" s="16" t="s">
        <v>45</v>
      </c>
      <c r="D45" s="466">
        <v>54008</v>
      </c>
      <c r="E45" s="466">
        <v>97100</v>
      </c>
      <c r="F45" s="32"/>
      <c r="G45" s="32"/>
      <c r="H45" s="32"/>
      <c r="J45" t="s">
        <v>107</v>
      </c>
    </row>
    <row r="46" spans="1:10" customFormat="1" x14ac:dyDescent="0.25">
      <c r="A46" s="11"/>
      <c r="B46" s="12">
        <v>16</v>
      </c>
      <c r="C46" s="13" t="s">
        <v>44</v>
      </c>
      <c r="D46" s="466">
        <v>435553</v>
      </c>
      <c r="E46" s="466">
        <v>403144</v>
      </c>
      <c r="F46" s="32"/>
      <c r="G46" s="32"/>
      <c r="H46" s="32"/>
      <c r="I46" s="38">
        <f>+D44-D45</f>
        <v>435554</v>
      </c>
      <c r="J46" t="s">
        <v>108</v>
      </c>
    </row>
    <row r="47" spans="1:10" customFormat="1" x14ac:dyDescent="0.25">
      <c r="A47" s="11"/>
      <c r="B47" s="12">
        <v>17</v>
      </c>
      <c r="C47" s="13" t="s">
        <v>43</v>
      </c>
      <c r="D47" s="497">
        <f>+D43/D46</f>
        <v>5.033968311548767</v>
      </c>
      <c r="E47" s="497">
        <f>+E43/E46</f>
        <v>4.6764109102454707</v>
      </c>
      <c r="F47" s="32"/>
      <c r="G47" s="32"/>
      <c r="H47" s="32"/>
      <c r="I47" s="69"/>
      <c r="J47" t="s">
        <v>108</v>
      </c>
    </row>
    <row r="48" spans="1:10" customFormat="1" x14ac:dyDescent="0.25">
      <c r="A48" s="11"/>
      <c r="B48" s="15"/>
      <c r="C48" s="530" t="s">
        <v>42</v>
      </c>
      <c r="D48" s="531"/>
      <c r="E48" s="531"/>
      <c r="F48" s="531"/>
      <c r="G48" s="531"/>
      <c r="H48" s="532"/>
      <c r="J48" s="38"/>
    </row>
    <row r="49" spans="1:10" customFormat="1" x14ac:dyDescent="0.25">
      <c r="A49" s="11"/>
      <c r="B49" s="12">
        <v>18</v>
      </c>
      <c r="C49" s="13" t="s">
        <v>41</v>
      </c>
      <c r="D49" s="68">
        <v>3947625</v>
      </c>
      <c r="E49" s="68">
        <v>3791062</v>
      </c>
      <c r="F49" s="32"/>
      <c r="G49" s="32"/>
      <c r="H49" s="32"/>
      <c r="J49" t="s">
        <v>110</v>
      </c>
    </row>
    <row r="50" spans="1:10" customFormat="1" x14ac:dyDescent="0.25">
      <c r="A50" s="11"/>
      <c r="B50" s="12">
        <v>19</v>
      </c>
      <c r="C50" s="14" t="s">
        <v>40</v>
      </c>
      <c r="D50" s="68">
        <v>2259765</v>
      </c>
      <c r="E50" s="68">
        <v>2291874</v>
      </c>
      <c r="F50" s="32"/>
      <c r="G50" s="32"/>
      <c r="H50" s="32"/>
      <c r="J50" t="s">
        <v>109</v>
      </c>
    </row>
    <row r="51" spans="1:10" customFormat="1" x14ac:dyDescent="0.25">
      <c r="A51" s="11"/>
      <c r="B51" s="12">
        <v>20</v>
      </c>
      <c r="C51" s="13" t="s">
        <v>39</v>
      </c>
      <c r="D51" s="71">
        <f>+D49/D50</f>
        <v>1.7469183742557302</v>
      </c>
      <c r="E51" s="71">
        <f>+E49/E50</f>
        <v>1.6541319461715609</v>
      </c>
      <c r="F51" s="32"/>
      <c r="G51" s="32"/>
      <c r="H51" s="32"/>
    </row>
    <row r="52" spans="1:10" x14ac:dyDescent="0.25">
      <c r="A52" s="260"/>
    </row>
    <row r="53" spans="1:10" x14ac:dyDescent="0.25">
      <c r="A53" s="260"/>
    </row>
    <row r="54" spans="1:10" x14ac:dyDescent="0.25">
      <c r="A54" s="260"/>
    </row>
    <row r="55" spans="1:10" x14ac:dyDescent="0.25">
      <c r="A55" s="260"/>
    </row>
    <row r="56" spans="1:10" x14ac:dyDescent="0.25">
      <c r="A56" s="260"/>
    </row>
    <row r="57" spans="1:10" x14ac:dyDescent="0.25">
      <c r="A57" s="260"/>
    </row>
    <row r="58" spans="1:10" x14ac:dyDescent="0.25">
      <c r="A58" s="260"/>
    </row>
    <row r="59" spans="1:10" x14ac:dyDescent="0.25">
      <c r="A59" s="260"/>
    </row>
    <row r="60" spans="1:10" x14ac:dyDescent="0.25">
      <c r="A60" s="260"/>
    </row>
    <row r="61" spans="1:10" x14ac:dyDescent="0.25">
      <c r="A61" s="260"/>
    </row>
    <row r="62" spans="1:10" x14ac:dyDescent="0.25">
      <c r="A62" s="260"/>
    </row>
    <row r="63" spans="1:10" x14ac:dyDescent="0.25">
      <c r="A63" s="260"/>
    </row>
    <row r="64" spans="1:10" x14ac:dyDescent="0.25">
      <c r="A64" s="260"/>
    </row>
    <row r="65" spans="1:1" x14ac:dyDescent="0.25">
      <c r="A65" s="260"/>
    </row>
    <row r="66" spans="1:1" x14ac:dyDescent="0.25">
      <c r="A66" s="260"/>
    </row>
    <row r="67" spans="1:1" x14ac:dyDescent="0.25">
      <c r="A67" s="260"/>
    </row>
    <row r="68" spans="1:1" x14ac:dyDescent="0.25">
      <c r="A68" s="260"/>
    </row>
    <row r="69" spans="1:1" x14ac:dyDescent="0.25">
      <c r="A69" s="260"/>
    </row>
    <row r="70" spans="1:1" x14ac:dyDescent="0.25">
      <c r="A70" s="260"/>
    </row>
    <row r="71" spans="1:1" x14ac:dyDescent="0.25">
      <c r="A71" s="260"/>
    </row>
    <row r="72" spans="1:1" x14ac:dyDescent="0.25">
      <c r="A72" s="260"/>
    </row>
    <row r="73" spans="1:1" x14ac:dyDescent="0.25">
      <c r="A73" s="260"/>
    </row>
    <row r="74" spans="1:1" x14ac:dyDescent="0.25">
      <c r="A74" s="260"/>
    </row>
    <row r="75" spans="1:1" x14ac:dyDescent="0.25">
      <c r="A75" s="260"/>
    </row>
    <row r="76" spans="1:1" x14ac:dyDescent="0.25">
      <c r="A76" s="260"/>
    </row>
    <row r="77" spans="1:1" x14ac:dyDescent="0.25">
      <c r="A77" s="260"/>
    </row>
    <row r="78" spans="1:1" x14ac:dyDescent="0.25">
      <c r="A78" s="260"/>
    </row>
    <row r="79" spans="1:1" x14ac:dyDescent="0.25">
      <c r="A79" s="260"/>
    </row>
    <row r="80" spans="1:1" x14ac:dyDescent="0.25">
      <c r="A80" s="260"/>
    </row>
    <row r="81" spans="1:1" x14ac:dyDescent="0.25">
      <c r="A81" s="260"/>
    </row>
    <row r="82" spans="1:1" x14ac:dyDescent="0.25">
      <c r="A82" s="260"/>
    </row>
    <row r="83" spans="1:1" x14ac:dyDescent="0.25">
      <c r="A83" s="260"/>
    </row>
    <row r="84" spans="1:1" x14ac:dyDescent="0.25">
      <c r="A84" s="260"/>
    </row>
    <row r="85" spans="1:1" x14ac:dyDescent="0.25">
      <c r="A85" s="260"/>
    </row>
    <row r="86" spans="1:1" x14ac:dyDescent="0.25">
      <c r="A86" s="260"/>
    </row>
    <row r="87" spans="1:1" x14ac:dyDescent="0.25">
      <c r="A87" s="260"/>
    </row>
    <row r="88" spans="1:1" x14ac:dyDescent="0.25">
      <c r="A88" s="260"/>
    </row>
    <row r="89" spans="1:1" x14ac:dyDescent="0.25">
      <c r="A89" s="260"/>
    </row>
    <row r="90" spans="1:1" x14ac:dyDescent="0.25">
      <c r="A90" s="260"/>
    </row>
    <row r="91" spans="1:1" x14ac:dyDescent="0.25">
      <c r="A91" s="260"/>
    </row>
    <row r="92" spans="1:1" x14ac:dyDescent="0.25">
      <c r="A92" s="260"/>
    </row>
    <row r="93" spans="1:1" x14ac:dyDescent="0.25">
      <c r="A93" s="260"/>
    </row>
    <row r="94" spans="1:1" x14ac:dyDescent="0.25">
      <c r="A94" s="260"/>
    </row>
    <row r="95" spans="1:1" x14ac:dyDescent="0.25">
      <c r="A95" s="260"/>
    </row>
    <row r="96" spans="1:1" x14ac:dyDescent="0.25">
      <c r="A96" s="260"/>
    </row>
    <row r="97" spans="1:10" x14ac:dyDescent="0.25">
      <c r="A97" s="260"/>
    </row>
    <row r="98" spans="1:10" x14ac:dyDescent="0.25">
      <c r="A98" s="260"/>
    </row>
    <row r="99" spans="1:10" x14ac:dyDescent="0.25">
      <c r="A99" s="260"/>
    </row>
    <row r="100" spans="1:10" x14ac:dyDescent="0.25">
      <c r="A100" s="260"/>
    </row>
    <row r="101" spans="1:10" x14ac:dyDescent="0.25">
      <c r="A101" s="260"/>
    </row>
    <row r="102" spans="1:10" x14ac:dyDescent="0.25">
      <c r="A102" s="260"/>
    </row>
    <row r="103" spans="1:10" x14ac:dyDescent="0.25">
      <c r="A103" s="260"/>
    </row>
    <row r="104" spans="1:10" x14ac:dyDescent="0.25">
      <c r="A104" s="260"/>
    </row>
    <row r="105" spans="1:10" x14ac:dyDescent="0.25">
      <c r="A105" s="260"/>
      <c r="B105" s="260"/>
      <c r="C105" s="260"/>
      <c r="D105" s="260"/>
      <c r="E105" s="260"/>
      <c r="F105" s="260"/>
      <c r="G105" s="260"/>
      <c r="H105" s="260"/>
      <c r="I105" s="260"/>
      <c r="J105" s="260"/>
    </row>
    <row r="106" spans="1:10" x14ac:dyDescent="0.25">
      <c r="A106" s="260"/>
      <c r="B106" s="260"/>
      <c r="C106" s="260"/>
      <c r="D106" s="260"/>
      <c r="E106" s="260"/>
      <c r="F106" s="260"/>
      <c r="G106" s="260"/>
      <c r="H106" s="260"/>
      <c r="I106" s="260"/>
      <c r="J106" s="260"/>
    </row>
    <row r="107" spans="1:10" x14ac:dyDescent="0.25">
      <c r="A107" s="260"/>
      <c r="B107" s="260"/>
      <c r="C107" s="260"/>
      <c r="D107" s="260"/>
      <c r="E107" s="260"/>
      <c r="F107" s="260"/>
      <c r="G107" s="260"/>
      <c r="H107" s="260"/>
      <c r="I107" s="260"/>
      <c r="J107" s="260"/>
    </row>
    <row r="108" spans="1:10" x14ac:dyDescent="0.25">
      <c r="A108" s="260"/>
      <c r="B108" s="260"/>
      <c r="C108" s="260"/>
      <c r="D108" s="260"/>
      <c r="E108" s="260"/>
      <c r="F108" s="260"/>
      <c r="G108" s="260"/>
      <c r="H108" s="260"/>
      <c r="I108" s="260"/>
      <c r="J108" s="260"/>
    </row>
    <row r="109" spans="1:10" x14ac:dyDescent="0.25">
      <c r="A109" s="260"/>
      <c r="B109" s="260"/>
      <c r="C109" s="260"/>
      <c r="D109" s="260"/>
      <c r="E109" s="260"/>
      <c r="F109" s="260"/>
      <c r="G109" s="260"/>
      <c r="H109" s="260"/>
      <c r="I109" s="260"/>
      <c r="J109" s="260"/>
    </row>
    <row r="110" spans="1:10" x14ac:dyDescent="0.25">
      <c r="A110" s="260"/>
      <c r="B110" s="260"/>
      <c r="C110" s="260"/>
      <c r="D110" s="260"/>
      <c r="E110" s="260"/>
      <c r="F110" s="260"/>
      <c r="G110" s="260"/>
      <c r="H110" s="260"/>
      <c r="I110" s="260"/>
      <c r="J110" s="260"/>
    </row>
    <row r="111" spans="1:10" x14ac:dyDescent="0.25">
      <c r="A111" s="260"/>
      <c r="B111" s="260"/>
      <c r="C111" s="260"/>
      <c r="D111" s="260"/>
      <c r="E111" s="260"/>
      <c r="F111" s="260"/>
      <c r="G111" s="260"/>
      <c r="H111" s="260"/>
      <c r="I111" s="260"/>
      <c r="J111" s="260"/>
    </row>
    <row r="112" spans="1:10" x14ac:dyDescent="0.25">
      <c r="A112" s="260"/>
      <c r="B112" s="260"/>
      <c r="C112" s="260"/>
      <c r="D112" s="260"/>
      <c r="E112" s="260"/>
      <c r="F112" s="260"/>
      <c r="G112" s="260"/>
      <c r="H112" s="260"/>
      <c r="I112" s="260"/>
      <c r="J112" s="260"/>
    </row>
    <row r="113" spans="1:10" x14ac:dyDescent="0.25">
      <c r="A113" s="260"/>
      <c r="B113" s="260"/>
      <c r="C113" s="260"/>
      <c r="D113" s="260"/>
      <c r="E113" s="260"/>
      <c r="F113" s="260"/>
      <c r="G113" s="260"/>
      <c r="H113" s="260"/>
      <c r="I113" s="260"/>
      <c r="J113" s="260"/>
    </row>
    <row r="114" spans="1:10" x14ac:dyDescent="0.25">
      <c r="A114" s="260"/>
      <c r="B114" s="260"/>
      <c r="C114" s="260"/>
      <c r="D114" s="260"/>
      <c r="E114" s="260"/>
      <c r="F114" s="260"/>
      <c r="G114" s="260"/>
      <c r="H114" s="260"/>
      <c r="I114" s="260"/>
      <c r="J114" s="260"/>
    </row>
    <row r="115" spans="1:10" x14ac:dyDescent="0.25">
      <c r="A115" s="260"/>
      <c r="B115" s="260"/>
      <c r="C115" s="260"/>
      <c r="D115" s="260"/>
      <c r="E115" s="260"/>
      <c r="F115" s="260"/>
      <c r="G115" s="260"/>
      <c r="H115" s="260"/>
      <c r="I115" s="260"/>
      <c r="J115" s="260"/>
    </row>
    <row r="116" spans="1:10" x14ac:dyDescent="0.25">
      <c r="A116" s="260"/>
      <c r="B116" s="260"/>
      <c r="C116" s="260"/>
      <c r="D116" s="260"/>
      <c r="E116" s="260"/>
      <c r="F116" s="260"/>
      <c r="G116" s="260"/>
      <c r="H116" s="260"/>
      <c r="I116" s="260"/>
      <c r="J116" s="260"/>
    </row>
    <row r="117" spans="1:10" x14ac:dyDescent="0.25">
      <c r="A117" s="260"/>
      <c r="B117" s="260"/>
      <c r="C117" s="260"/>
      <c r="D117" s="260"/>
      <c r="E117" s="260"/>
      <c r="F117" s="260"/>
      <c r="G117" s="260"/>
      <c r="H117" s="260"/>
      <c r="I117" s="260"/>
      <c r="J117" s="260"/>
    </row>
    <row r="118" spans="1:10" x14ac:dyDescent="0.25">
      <c r="A118" s="260"/>
      <c r="B118" s="260"/>
      <c r="C118" s="260"/>
      <c r="D118" s="260"/>
      <c r="E118" s="260"/>
      <c r="F118" s="260"/>
      <c r="G118" s="260"/>
      <c r="H118" s="260"/>
      <c r="I118" s="260"/>
      <c r="J118" s="260"/>
    </row>
    <row r="119" spans="1:10" x14ac:dyDescent="0.25">
      <c r="A119" s="260"/>
      <c r="B119" s="260"/>
      <c r="C119" s="260"/>
      <c r="D119" s="260"/>
      <c r="E119" s="260"/>
      <c r="F119" s="260"/>
      <c r="G119" s="260"/>
      <c r="H119" s="260"/>
      <c r="I119" s="260"/>
      <c r="J119" s="260"/>
    </row>
    <row r="120" spans="1:10" x14ac:dyDescent="0.25">
      <c r="A120" s="260"/>
      <c r="B120" s="260"/>
      <c r="C120" s="260"/>
      <c r="D120" s="260"/>
      <c r="E120" s="260"/>
      <c r="F120" s="260"/>
      <c r="G120" s="260"/>
      <c r="H120" s="260"/>
      <c r="I120" s="260"/>
      <c r="J120" s="260"/>
    </row>
    <row r="121" spans="1:10" x14ac:dyDescent="0.25">
      <c r="A121" s="260"/>
      <c r="B121" s="260"/>
      <c r="C121" s="260"/>
      <c r="D121" s="260"/>
      <c r="E121" s="260"/>
      <c r="F121" s="260"/>
      <c r="G121" s="260"/>
      <c r="H121" s="260"/>
      <c r="I121" s="260"/>
      <c r="J121" s="260"/>
    </row>
    <row r="122" spans="1:10" x14ac:dyDescent="0.25">
      <c r="A122" s="260"/>
      <c r="B122" s="260"/>
      <c r="C122" s="260"/>
      <c r="D122" s="260"/>
      <c r="E122" s="260"/>
      <c r="F122" s="260"/>
      <c r="G122" s="260"/>
      <c r="H122" s="260"/>
      <c r="I122" s="260"/>
      <c r="J122" s="260"/>
    </row>
    <row r="123" spans="1:10" x14ac:dyDescent="0.25">
      <c r="A123" s="260"/>
      <c r="B123" s="260"/>
      <c r="C123" s="260"/>
      <c r="D123" s="260"/>
      <c r="E123" s="260"/>
      <c r="F123" s="260"/>
      <c r="G123" s="260"/>
      <c r="H123" s="260"/>
      <c r="I123" s="260"/>
      <c r="J123" s="260"/>
    </row>
    <row r="124" spans="1:10" x14ac:dyDescent="0.25">
      <c r="A124" s="260"/>
      <c r="B124" s="260"/>
      <c r="C124" s="260"/>
      <c r="D124" s="260"/>
      <c r="E124" s="260"/>
      <c r="F124" s="260"/>
      <c r="G124" s="260"/>
      <c r="H124" s="260"/>
      <c r="I124" s="260"/>
      <c r="J124" s="260"/>
    </row>
    <row r="125" spans="1:10" x14ac:dyDescent="0.25">
      <c r="A125" s="260"/>
      <c r="B125" s="260"/>
      <c r="C125" s="260"/>
      <c r="D125" s="260"/>
      <c r="E125" s="260"/>
      <c r="F125" s="260"/>
      <c r="G125" s="260"/>
      <c r="H125" s="260"/>
      <c r="I125" s="260"/>
      <c r="J125" s="260"/>
    </row>
    <row r="126" spans="1:10" x14ac:dyDescent="0.25">
      <c r="A126" s="260"/>
      <c r="B126" s="260"/>
      <c r="C126" s="260"/>
      <c r="D126" s="260"/>
      <c r="E126" s="260"/>
      <c r="F126" s="260"/>
      <c r="G126" s="260"/>
      <c r="H126" s="260"/>
      <c r="I126" s="260"/>
      <c r="J126" s="260"/>
    </row>
    <row r="127" spans="1:10" x14ac:dyDescent="0.25">
      <c r="A127" s="260"/>
      <c r="B127" s="260"/>
      <c r="C127" s="260"/>
      <c r="D127" s="260"/>
      <c r="E127" s="260"/>
      <c r="F127" s="260"/>
      <c r="G127" s="260"/>
      <c r="H127" s="260"/>
      <c r="I127" s="260"/>
      <c r="J127" s="260"/>
    </row>
    <row r="128" spans="1:10" x14ac:dyDescent="0.25">
      <c r="A128" s="260"/>
      <c r="B128" s="260"/>
      <c r="C128" s="260"/>
      <c r="D128" s="260"/>
      <c r="E128" s="260"/>
      <c r="F128" s="260"/>
      <c r="G128" s="260"/>
      <c r="H128" s="260"/>
      <c r="I128" s="260"/>
      <c r="J128" s="260"/>
    </row>
    <row r="129" spans="1:10" x14ac:dyDescent="0.25">
      <c r="A129" s="260"/>
      <c r="B129" s="260"/>
      <c r="C129" s="260"/>
      <c r="D129" s="260"/>
      <c r="E129" s="260"/>
      <c r="F129" s="260"/>
      <c r="G129" s="260"/>
      <c r="H129" s="260"/>
      <c r="I129" s="260"/>
      <c r="J129" s="260"/>
    </row>
    <row r="130" spans="1:10" x14ac:dyDescent="0.25">
      <c r="A130" s="260"/>
      <c r="B130" s="260"/>
      <c r="C130" s="260"/>
      <c r="D130" s="260"/>
      <c r="E130" s="260"/>
      <c r="F130" s="260"/>
      <c r="G130" s="260"/>
      <c r="H130" s="260"/>
      <c r="I130" s="260"/>
      <c r="J130" s="260"/>
    </row>
    <row r="131" spans="1:10" x14ac:dyDescent="0.25">
      <c r="A131" s="260"/>
      <c r="B131" s="260"/>
      <c r="C131" s="260"/>
      <c r="D131" s="260"/>
      <c r="E131" s="260"/>
      <c r="F131" s="260"/>
      <c r="G131" s="260"/>
      <c r="H131" s="260"/>
      <c r="I131" s="260"/>
      <c r="J131" s="260"/>
    </row>
    <row r="132" spans="1:10" x14ac:dyDescent="0.25">
      <c r="A132" s="260"/>
      <c r="B132" s="260"/>
      <c r="C132" s="260"/>
      <c r="D132" s="260"/>
      <c r="E132" s="260"/>
      <c r="F132" s="260"/>
      <c r="G132" s="260"/>
      <c r="H132" s="260"/>
      <c r="I132" s="260"/>
      <c r="J132" s="260"/>
    </row>
    <row r="133" spans="1:10" x14ac:dyDescent="0.25">
      <c r="A133" s="260"/>
      <c r="B133" s="260"/>
      <c r="C133" s="260"/>
      <c r="D133" s="260"/>
      <c r="E133" s="260"/>
      <c r="F133" s="260"/>
      <c r="G133" s="260"/>
      <c r="H133" s="260"/>
      <c r="I133" s="260"/>
      <c r="J133" s="260"/>
    </row>
    <row r="134" spans="1:10" x14ac:dyDescent="0.25">
      <c r="A134" s="260"/>
      <c r="B134" s="260"/>
      <c r="C134" s="260"/>
      <c r="D134" s="260"/>
      <c r="E134" s="260"/>
      <c r="F134" s="260"/>
      <c r="G134" s="260"/>
      <c r="H134" s="260"/>
      <c r="I134" s="260"/>
      <c r="J134" s="260"/>
    </row>
    <row r="145" s="261" customFormat="1" x14ac:dyDescent="0.25"/>
    <row r="146" s="261" customFormat="1" x14ac:dyDescent="0.25"/>
  </sheetData>
  <sheetProtection algorithmName="SHA-512" hashValue="ieV4OUTbk4XAFumKZ4azhUhlgHlfuGE4f8vAlWbLb+Em2Fu6t16rJsQWx8Vjsbf0b+xOcNbAI0X6rZizFAr3dg==" saltValue="KVqyECQI9I0R2B3njmFkxA==" spinCount="100000" sheet="1" objects="1" scenarios="1"/>
  <mergeCells count="10">
    <mergeCell ref="C32:H32"/>
    <mergeCell ref="C42:H42"/>
    <mergeCell ref="C48:H48"/>
    <mergeCell ref="C7:H7"/>
    <mergeCell ref="C11:H11"/>
    <mergeCell ref="C13:H13"/>
    <mergeCell ref="C17:H17"/>
    <mergeCell ref="C22:H22"/>
    <mergeCell ref="C35:H35"/>
    <mergeCell ref="C39:H39"/>
  </mergeCells>
  <pageMargins left="0.70866141732283472" right="0.70866141732283472" top="0.74803149606299213" bottom="0.74803149606299213" header="0.31496062992125984" footer="0.31496062992125984"/>
  <pageSetup paperSize="9" scale="64" orientation="portrait" r:id="rId1"/>
  <headerFooter>
    <oddHeader>&amp;CDA
Bilag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B4E2D-BD15-48BF-AFFF-E5B23D3E3BD2}">
  <sheetPr>
    <tabColor theme="0" tint="-0.14999847407452621"/>
    <pageSetUpPr fitToPage="1"/>
  </sheetPr>
  <dimension ref="B3:P48"/>
  <sheetViews>
    <sheetView workbookViewId="0"/>
  </sheetViews>
  <sheetFormatPr defaultColWidth="9.140625" defaultRowHeight="15" x14ac:dyDescent="0.25"/>
  <cols>
    <col min="2" max="2" width="7.5703125" style="39" customWidth="1"/>
    <col min="3" max="3" width="44" customWidth="1"/>
    <col min="4" max="5" width="23" customWidth="1"/>
    <col min="6" max="10" width="21.140625" customWidth="1"/>
  </cols>
  <sheetData>
    <row r="3" spans="2:16" ht="24" customHeight="1" x14ac:dyDescent="0.25">
      <c r="C3" s="40" t="s">
        <v>114</v>
      </c>
      <c r="D3" s="40"/>
      <c r="E3" s="40"/>
      <c r="F3" s="40"/>
      <c r="G3" s="40"/>
      <c r="H3" s="40"/>
      <c r="I3" s="40"/>
      <c r="J3" s="40"/>
    </row>
    <row r="4" spans="2:16" x14ac:dyDescent="0.25">
      <c r="C4" s="3" t="s">
        <v>654</v>
      </c>
    </row>
    <row r="5" spans="2:16" x14ac:dyDescent="0.25">
      <c r="B5"/>
    </row>
    <row r="6" spans="2:16" x14ac:dyDescent="0.25">
      <c r="B6"/>
      <c r="D6" s="41" t="s">
        <v>2</v>
      </c>
      <c r="E6" s="41" t="s">
        <v>3</v>
      </c>
      <c r="F6" s="41" t="s">
        <v>4</v>
      </c>
      <c r="G6" s="41" t="s">
        <v>100</v>
      </c>
      <c r="H6" s="41" t="s">
        <v>99</v>
      </c>
      <c r="I6" s="41" t="s">
        <v>115</v>
      </c>
      <c r="J6" s="41" t="s">
        <v>116</v>
      </c>
    </row>
    <row r="7" spans="2:16" x14ac:dyDescent="0.25">
      <c r="B7"/>
      <c r="C7" t="s">
        <v>117</v>
      </c>
      <c r="D7" s="545" t="s">
        <v>118</v>
      </c>
      <c r="E7" s="546" t="s">
        <v>119</v>
      </c>
      <c r="F7" s="545" t="s">
        <v>120</v>
      </c>
      <c r="G7" s="545"/>
      <c r="H7" s="545"/>
      <c r="I7" s="545"/>
      <c r="J7" s="545"/>
    </row>
    <row r="8" spans="2:16" ht="90.75" customHeight="1" x14ac:dyDescent="0.25">
      <c r="B8"/>
      <c r="D8" s="545"/>
      <c r="E8" s="546"/>
      <c r="F8" s="41" t="s">
        <v>121</v>
      </c>
      <c r="G8" s="41" t="s">
        <v>122</v>
      </c>
      <c r="H8" s="41" t="s">
        <v>123</v>
      </c>
      <c r="I8" s="41" t="s">
        <v>124</v>
      </c>
      <c r="J8" s="41" t="s">
        <v>125</v>
      </c>
    </row>
    <row r="9" spans="2:16" ht="45" x14ac:dyDescent="0.25">
      <c r="C9" s="42" t="s">
        <v>126</v>
      </c>
      <c r="D9" s="43"/>
      <c r="E9" s="44"/>
      <c r="F9" s="44"/>
      <c r="G9" s="44"/>
      <c r="H9" s="44"/>
      <c r="I9" s="44"/>
      <c r="J9" s="44"/>
      <c r="P9" s="45"/>
    </row>
    <row r="10" spans="2:16" ht="30" x14ac:dyDescent="0.25">
      <c r="B10" s="46">
        <v>1</v>
      </c>
      <c r="C10" s="47" t="s">
        <v>156</v>
      </c>
      <c r="D10" s="72">
        <v>873272</v>
      </c>
      <c r="E10" s="262"/>
      <c r="F10" s="264">
        <f>+D10</f>
        <v>873272</v>
      </c>
      <c r="G10" s="264"/>
      <c r="H10" s="264"/>
      <c r="I10" s="264"/>
      <c r="J10" s="264"/>
      <c r="K10" s="267"/>
    </row>
    <row r="11" spans="2:16" ht="30" x14ac:dyDescent="0.25">
      <c r="B11" s="46">
        <v>2</v>
      </c>
      <c r="C11" s="47" t="s">
        <v>157</v>
      </c>
      <c r="D11" s="72">
        <v>34949</v>
      </c>
      <c r="E11" s="262"/>
      <c r="F11" s="264">
        <f>+D11</f>
        <v>34949</v>
      </c>
      <c r="G11" s="264"/>
      <c r="H11" s="264"/>
      <c r="I11" s="264"/>
      <c r="J11" s="264"/>
      <c r="K11" s="267"/>
    </row>
    <row r="12" spans="2:16" ht="30" x14ac:dyDescent="0.25">
      <c r="B12" s="46">
        <v>3</v>
      </c>
      <c r="C12" s="47" t="s">
        <v>158</v>
      </c>
      <c r="D12" s="72">
        <v>1771787</v>
      </c>
      <c r="E12" s="262"/>
      <c r="F12" s="264">
        <f>+D12-J12</f>
        <v>1761787</v>
      </c>
      <c r="G12" s="264"/>
      <c r="H12" s="264"/>
      <c r="I12" s="264"/>
      <c r="J12" s="264">
        <f>6000+4000</f>
        <v>10000</v>
      </c>
      <c r="K12" s="267"/>
    </row>
    <row r="13" spans="2:16" x14ac:dyDescent="0.25">
      <c r="B13" s="49" t="s">
        <v>165</v>
      </c>
      <c r="C13" s="47" t="s">
        <v>159</v>
      </c>
      <c r="D13" s="72">
        <v>1346358</v>
      </c>
      <c r="E13" s="262"/>
      <c r="F13" s="264"/>
      <c r="G13" s="264"/>
      <c r="H13" s="264"/>
      <c r="I13" s="264">
        <f>+D13</f>
        <v>1346358</v>
      </c>
      <c r="J13" s="264"/>
      <c r="K13" s="267"/>
    </row>
    <row r="14" spans="2:16" x14ac:dyDescent="0.25">
      <c r="B14" s="49" t="s">
        <v>166</v>
      </c>
      <c r="C14" s="47" t="s">
        <v>160</v>
      </c>
      <c r="D14" s="72">
        <v>172607</v>
      </c>
      <c r="E14" s="262"/>
      <c r="F14" s="264">
        <f>163967-102882</f>
        <v>61085</v>
      </c>
      <c r="G14" s="264"/>
      <c r="H14" s="264"/>
      <c r="I14" s="264">
        <f>+D14-F14-J14</f>
        <v>12640</v>
      </c>
      <c r="J14" s="264">
        <f>102882-4000</f>
        <v>98882</v>
      </c>
      <c r="K14" s="267"/>
    </row>
    <row r="15" spans="2:16" x14ac:dyDescent="0.25">
      <c r="B15" s="49" t="s">
        <v>167</v>
      </c>
      <c r="C15" s="47" t="s">
        <v>162</v>
      </c>
      <c r="D15" s="72">
        <v>339</v>
      </c>
      <c r="E15" s="262"/>
      <c r="F15" s="264">
        <f>+D15</f>
        <v>339</v>
      </c>
      <c r="G15" s="264"/>
      <c r="H15" s="264"/>
      <c r="I15" s="264"/>
      <c r="J15" s="264"/>
      <c r="K15" s="267"/>
    </row>
    <row r="16" spans="2:16" x14ac:dyDescent="0.25">
      <c r="B16" s="49" t="s">
        <v>168</v>
      </c>
      <c r="C16" s="47" t="s">
        <v>163</v>
      </c>
      <c r="D16" s="72">
        <v>768043</v>
      </c>
      <c r="E16" s="262"/>
      <c r="F16" s="264"/>
      <c r="G16" s="264"/>
      <c r="H16" s="264"/>
      <c r="I16" s="264"/>
      <c r="J16" s="264">
        <f>+D16</f>
        <v>768043</v>
      </c>
      <c r="K16" s="267"/>
    </row>
    <row r="17" spans="2:12" x14ac:dyDescent="0.25">
      <c r="B17" s="49" t="s">
        <v>169</v>
      </c>
      <c r="C17" s="47" t="s">
        <v>164</v>
      </c>
      <c r="D17" s="72">
        <f>238+60644+10035+34874+3339</f>
        <v>109130</v>
      </c>
      <c r="E17" s="262"/>
      <c r="F17" s="264">
        <f>+D17-G17-J17</f>
        <v>107839</v>
      </c>
      <c r="G17" s="264">
        <v>1053</v>
      </c>
      <c r="H17" s="264"/>
      <c r="I17" s="264"/>
      <c r="J17" s="264">
        <v>238</v>
      </c>
      <c r="K17" s="267"/>
    </row>
    <row r="18" spans="2:12" x14ac:dyDescent="0.25">
      <c r="B18" s="50" t="s">
        <v>127</v>
      </c>
      <c r="C18" s="51" t="s">
        <v>128</v>
      </c>
      <c r="D18" s="268">
        <f>SUM(D10:D17)</f>
        <v>5076485</v>
      </c>
      <c r="E18" s="57"/>
      <c r="F18" s="268">
        <f>SUM(F10:F17)</f>
        <v>2839271</v>
      </c>
      <c r="G18" s="268">
        <f>SUM(G10:G17)</f>
        <v>1053</v>
      </c>
      <c r="H18" s="269"/>
      <c r="I18" s="268">
        <f>SUM(I10:I17)</f>
        <v>1358998</v>
      </c>
      <c r="J18" s="268">
        <f>SUM(J10:J17)</f>
        <v>877163</v>
      </c>
    </row>
    <row r="19" spans="2:12" x14ac:dyDescent="0.25">
      <c r="B19" s="46"/>
      <c r="C19" s="47"/>
      <c r="D19" s="48"/>
      <c r="E19" s="262"/>
      <c r="F19" s="265"/>
      <c r="G19" s="265"/>
      <c r="H19" s="265"/>
      <c r="I19" s="266"/>
      <c r="J19" s="266"/>
    </row>
    <row r="20" spans="2:12" ht="45" x14ac:dyDescent="0.25">
      <c r="B20" s="46"/>
      <c r="C20" s="42" t="s">
        <v>129</v>
      </c>
      <c r="D20" s="43"/>
      <c r="E20" s="263"/>
      <c r="F20" s="263"/>
      <c r="G20" s="263"/>
      <c r="H20" s="263"/>
      <c r="I20" s="263"/>
      <c r="J20" s="263"/>
    </row>
    <row r="21" spans="2:12" x14ac:dyDescent="0.25">
      <c r="B21" s="49" t="s">
        <v>130</v>
      </c>
      <c r="C21" s="47" t="s">
        <v>170</v>
      </c>
      <c r="D21" s="72">
        <v>3376247</v>
      </c>
      <c r="E21" s="262"/>
      <c r="F21" s="265"/>
      <c r="G21" s="265"/>
      <c r="H21" s="265"/>
      <c r="I21" s="266"/>
      <c r="J21" s="266">
        <f>+D21</f>
        <v>3376247</v>
      </c>
    </row>
    <row r="22" spans="2:12" x14ac:dyDescent="0.25">
      <c r="B22" s="46">
        <v>2</v>
      </c>
      <c r="C22" s="47" t="s">
        <v>171</v>
      </c>
      <c r="D22" s="72">
        <v>768043</v>
      </c>
      <c r="E22" s="262"/>
      <c r="F22" s="265"/>
      <c r="G22" s="265"/>
      <c r="H22" s="265"/>
      <c r="I22" s="266"/>
      <c r="J22" s="266">
        <f t="shared" ref="J22:J26" si="0">+D22</f>
        <v>768043</v>
      </c>
    </row>
    <row r="23" spans="2:12" x14ac:dyDescent="0.25">
      <c r="B23" s="46">
        <v>3</v>
      </c>
      <c r="C23" s="47" t="s">
        <v>172</v>
      </c>
      <c r="D23" s="72">
        <v>45000</v>
      </c>
      <c r="E23" s="262"/>
      <c r="F23" s="265"/>
      <c r="G23" s="265"/>
      <c r="H23" s="265"/>
      <c r="I23" s="266"/>
      <c r="J23" s="266">
        <f t="shared" si="0"/>
        <v>45000</v>
      </c>
    </row>
    <row r="24" spans="2:12" x14ac:dyDescent="0.25">
      <c r="B24" s="46">
        <v>4</v>
      </c>
      <c r="C24" s="47" t="s">
        <v>173</v>
      </c>
      <c r="D24" s="72">
        <f>2387+149094+46+26764</f>
        <v>178291</v>
      </c>
      <c r="E24" s="262"/>
      <c r="F24" s="265"/>
      <c r="G24" s="265"/>
      <c r="H24" s="265"/>
      <c r="I24" s="266"/>
      <c r="J24" s="266">
        <f t="shared" si="0"/>
        <v>178291</v>
      </c>
    </row>
    <row r="25" spans="2:12" x14ac:dyDescent="0.25">
      <c r="B25" s="46">
        <v>5</v>
      </c>
      <c r="C25" s="47" t="s">
        <v>174</v>
      </c>
      <c r="D25" s="72">
        <v>84465</v>
      </c>
      <c r="E25" s="262"/>
      <c r="F25" s="265"/>
      <c r="G25" s="265"/>
      <c r="H25" s="265"/>
      <c r="I25" s="266"/>
      <c r="J25" s="266">
        <f t="shared" si="0"/>
        <v>84465</v>
      </c>
    </row>
    <row r="26" spans="2:12" x14ac:dyDescent="0.25">
      <c r="B26" s="46">
        <v>6</v>
      </c>
      <c r="C26" s="47" t="s">
        <v>175</v>
      </c>
      <c r="D26" s="72">
        <v>624439</v>
      </c>
      <c r="E26" s="262"/>
      <c r="F26" s="265"/>
      <c r="G26" s="265"/>
      <c r="H26" s="265"/>
      <c r="I26" s="266"/>
      <c r="J26" s="266">
        <f t="shared" si="0"/>
        <v>624439</v>
      </c>
      <c r="L26" s="17"/>
    </row>
    <row r="27" spans="2:12" s="26" customFormat="1" x14ac:dyDescent="0.25">
      <c r="B27" s="52" t="s">
        <v>127</v>
      </c>
      <c r="C27" s="51" t="s">
        <v>131</v>
      </c>
      <c r="D27" s="268">
        <f>SUM(D21:D26)</f>
        <v>5076485</v>
      </c>
      <c r="E27" s="57"/>
      <c r="F27" s="270"/>
      <c r="G27" s="270"/>
      <c r="H27" s="270"/>
      <c r="I27" s="271"/>
      <c r="J27" s="271">
        <f>+D27</f>
        <v>5076485</v>
      </c>
    </row>
    <row r="28" spans="2:12" x14ac:dyDescent="0.25">
      <c r="C28" s="547"/>
      <c r="D28" s="547"/>
    </row>
    <row r="29" spans="2:12" x14ac:dyDescent="0.25">
      <c r="C29" s="547"/>
      <c r="D29" s="547"/>
    </row>
    <row r="30" spans="2:12" x14ac:dyDescent="0.25">
      <c r="C30" s="548"/>
      <c r="D30" s="548"/>
    </row>
    <row r="31" spans="2:12" x14ac:dyDescent="0.25">
      <c r="C31" s="544"/>
      <c r="D31" s="544"/>
    </row>
    <row r="32" spans="2:12" x14ac:dyDescent="0.25">
      <c r="C32" s="549"/>
      <c r="D32" s="549"/>
    </row>
    <row r="33" spans="3:4" x14ac:dyDescent="0.25">
      <c r="C33" s="549"/>
      <c r="D33" s="549"/>
    </row>
    <row r="34" spans="3:4" x14ac:dyDescent="0.25">
      <c r="C34" s="543"/>
      <c r="D34" s="543"/>
    </row>
    <row r="35" spans="3:4" x14ac:dyDescent="0.25">
      <c r="C35" s="543"/>
      <c r="D35" s="543"/>
    </row>
    <row r="36" spans="3:4" x14ac:dyDescent="0.25">
      <c r="C36" s="542"/>
      <c r="D36" s="542"/>
    </row>
    <row r="37" spans="3:4" x14ac:dyDescent="0.25">
      <c r="C37" s="543"/>
      <c r="D37" s="543"/>
    </row>
    <row r="38" spans="3:4" x14ac:dyDescent="0.25">
      <c r="C38" s="542"/>
      <c r="D38" s="542"/>
    </row>
    <row r="39" spans="3:4" x14ac:dyDescent="0.25">
      <c r="C39" s="543"/>
      <c r="D39" s="543"/>
    </row>
    <row r="40" spans="3:4" x14ac:dyDescent="0.25">
      <c r="C40" s="542"/>
      <c r="D40" s="542"/>
    </row>
    <row r="41" spans="3:4" x14ac:dyDescent="0.25">
      <c r="C41" s="543"/>
      <c r="D41" s="543"/>
    </row>
    <row r="42" spans="3:4" x14ac:dyDescent="0.25">
      <c r="C42" s="542"/>
      <c r="D42" s="542"/>
    </row>
    <row r="43" spans="3:4" x14ac:dyDescent="0.25">
      <c r="C43" s="544"/>
      <c r="D43" s="544"/>
    </row>
    <row r="44" spans="3:4" x14ac:dyDescent="0.25">
      <c r="C44" s="542"/>
      <c r="D44" s="542"/>
    </row>
    <row r="45" spans="3:4" x14ac:dyDescent="0.25">
      <c r="C45" s="543"/>
      <c r="D45" s="543"/>
    </row>
    <row r="46" spans="3:4" x14ac:dyDescent="0.25">
      <c r="C46" s="543"/>
      <c r="D46" s="543"/>
    </row>
    <row r="47" spans="3:4" x14ac:dyDescent="0.25">
      <c r="C47" s="543"/>
      <c r="D47" s="543"/>
    </row>
    <row r="48" spans="3:4" x14ac:dyDescent="0.25">
      <c r="C48" s="542"/>
      <c r="D48" s="542"/>
    </row>
  </sheetData>
  <sheetProtection algorithmName="SHA-512" hashValue="PBARUEahj1kRbV3CVuYGKiWj/H8xNB91V3MAt7MiMSt0QhbLwlwzgniCnxVkQOBzR6+m/EsyzZTntglgSXfsDg==" saltValue="K+JyQS8YK3HohO9+8AMCOA==" spinCount="100000" sheet="1" objects="1" scenarios="1"/>
  <mergeCells count="24">
    <mergeCell ref="C36:D36"/>
    <mergeCell ref="D7:D8"/>
    <mergeCell ref="E7:E8"/>
    <mergeCell ref="F7:J7"/>
    <mergeCell ref="C28:D28"/>
    <mergeCell ref="C29:D29"/>
    <mergeCell ref="C30:D30"/>
    <mergeCell ref="C31:D31"/>
    <mergeCell ref="C32:D32"/>
    <mergeCell ref="C33:D33"/>
    <mergeCell ref="C34:D34"/>
    <mergeCell ref="C35:D35"/>
    <mergeCell ref="C48:D48"/>
    <mergeCell ref="C37:D37"/>
    <mergeCell ref="C38:D38"/>
    <mergeCell ref="C39:D39"/>
    <mergeCell ref="C40:D40"/>
    <mergeCell ref="C41:D41"/>
    <mergeCell ref="C42:D42"/>
    <mergeCell ref="C43:D43"/>
    <mergeCell ref="C44:D44"/>
    <mergeCell ref="C45:D45"/>
    <mergeCell ref="C46:D46"/>
    <mergeCell ref="C47:D47"/>
  </mergeCells>
  <pageMargins left="0.7" right="0.7" top="0.75" bottom="0.75" header="0.3" footer="0.3"/>
  <pageSetup paperSize="9" scale="64" orientation="landscape" r:id="rId1"/>
  <headerFooter>
    <oddHeader>&amp;CDA
Bilag V</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856B-9178-4453-B43A-36A7CBC140E0}">
  <sheetPr>
    <tabColor theme="0" tint="-0.14999847407452621"/>
    <pageSetUpPr fitToPage="1"/>
  </sheetPr>
  <dimension ref="B2:H19"/>
  <sheetViews>
    <sheetView workbookViewId="0"/>
  </sheetViews>
  <sheetFormatPr defaultColWidth="9.140625" defaultRowHeight="15" x14ac:dyDescent="0.25"/>
  <cols>
    <col min="1" max="1" width="7.85546875" customWidth="1"/>
    <col min="2" max="2" width="8.5703125" style="39" customWidth="1"/>
    <col min="3" max="3" width="96.85546875" customWidth="1"/>
    <col min="4" max="8" width="15.7109375" customWidth="1"/>
    <col min="9" max="9" width="25.42578125" customWidth="1"/>
  </cols>
  <sheetData>
    <row r="2" spans="2:8" s="54" customFormat="1" ht="18.75" x14ac:dyDescent="0.3">
      <c r="B2" s="53"/>
      <c r="C2" s="40" t="s">
        <v>112</v>
      </c>
    </row>
    <row r="5" spans="2:8" x14ac:dyDescent="0.25">
      <c r="B5"/>
      <c r="D5" s="41" t="s">
        <v>2</v>
      </c>
      <c r="E5" s="41" t="s">
        <v>3</v>
      </c>
      <c r="F5" s="41" t="s">
        <v>4</v>
      </c>
      <c r="G5" s="41" t="s">
        <v>100</v>
      </c>
      <c r="H5" s="41" t="s">
        <v>99</v>
      </c>
    </row>
    <row r="6" spans="2:8" x14ac:dyDescent="0.25">
      <c r="B6"/>
      <c r="D6" s="545" t="s">
        <v>38</v>
      </c>
      <c r="E6" s="545" t="s">
        <v>132</v>
      </c>
      <c r="F6" s="545"/>
      <c r="G6" s="545"/>
      <c r="H6" s="545"/>
    </row>
    <row r="7" spans="2:8" ht="30" x14ac:dyDescent="0.25">
      <c r="B7"/>
      <c r="D7" s="545"/>
      <c r="E7" s="41" t="s">
        <v>655</v>
      </c>
      <c r="F7" s="41" t="s">
        <v>656</v>
      </c>
      <c r="G7" s="55" t="s">
        <v>657</v>
      </c>
      <c r="H7" s="41" t="s">
        <v>658</v>
      </c>
    </row>
    <row r="8" spans="2:8" x14ac:dyDescent="0.25">
      <c r="B8" s="56">
        <v>1</v>
      </c>
      <c r="C8" s="57" t="s">
        <v>133</v>
      </c>
      <c r="D8" s="272">
        <f>+'Skema EU LI1 '!D18</f>
        <v>5076485</v>
      </c>
      <c r="E8" s="272">
        <f>+'Skema EU LI1 '!F18</f>
        <v>2839271</v>
      </c>
      <c r="F8" s="273"/>
      <c r="G8" s="272">
        <f>+'Skema EU LI1 '!G18</f>
        <v>1053</v>
      </c>
      <c r="H8" s="272">
        <f>+'Skema EU LI1 '!I18</f>
        <v>1358998</v>
      </c>
    </row>
    <row r="9" spans="2:8" x14ac:dyDescent="0.25">
      <c r="B9" s="56">
        <v>2</v>
      </c>
      <c r="C9" s="57" t="s">
        <v>134</v>
      </c>
      <c r="D9" s="272">
        <f>+'Skema EU LI1 '!D27</f>
        <v>5076485</v>
      </c>
      <c r="E9" s="272"/>
      <c r="F9" s="273"/>
      <c r="G9" s="272"/>
      <c r="H9" s="272"/>
    </row>
    <row r="10" spans="2:8" x14ac:dyDescent="0.25">
      <c r="B10" s="56">
        <v>3</v>
      </c>
      <c r="C10" s="57" t="s">
        <v>135</v>
      </c>
      <c r="D10" s="272">
        <f>+D8-D9</f>
        <v>0</v>
      </c>
      <c r="E10" s="272">
        <f t="shared" ref="E10:H10" si="0">+E8-E9</f>
        <v>2839271</v>
      </c>
      <c r="F10" s="272">
        <f t="shared" si="0"/>
        <v>0</v>
      </c>
      <c r="G10" s="272">
        <f t="shared" si="0"/>
        <v>1053</v>
      </c>
      <c r="H10" s="272">
        <f t="shared" si="0"/>
        <v>1358998</v>
      </c>
    </row>
    <row r="11" spans="2:8" x14ac:dyDescent="0.25">
      <c r="B11" s="56">
        <v>4</v>
      </c>
      <c r="C11" s="51" t="s">
        <v>136</v>
      </c>
      <c r="D11" s="272">
        <f>832116+606490-9002</f>
        <v>1429604</v>
      </c>
      <c r="E11" s="272">
        <f>+D11</f>
        <v>1429604</v>
      </c>
      <c r="F11" s="273"/>
      <c r="G11" s="272"/>
      <c r="H11" s="274"/>
    </row>
    <row r="12" spans="2:8" x14ac:dyDescent="0.25">
      <c r="B12" s="41">
        <v>5</v>
      </c>
      <c r="C12" s="59" t="s">
        <v>137</v>
      </c>
      <c r="D12" s="272"/>
      <c r="E12" s="272"/>
      <c r="F12" s="273"/>
      <c r="G12" s="272"/>
      <c r="H12" s="274"/>
    </row>
    <row r="13" spans="2:8" x14ac:dyDescent="0.25">
      <c r="B13" s="41">
        <v>6</v>
      </c>
      <c r="C13" s="59" t="s">
        <v>138</v>
      </c>
      <c r="D13" s="272"/>
      <c r="E13" s="272"/>
      <c r="F13" s="273"/>
      <c r="G13" s="272"/>
      <c r="H13" s="274"/>
    </row>
    <row r="14" spans="2:8" x14ac:dyDescent="0.25">
      <c r="B14" s="41">
        <v>7</v>
      </c>
      <c r="C14" s="59" t="s">
        <v>139</v>
      </c>
      <c r="D14" s="272"/>
      <c r="E14" s="272"/>
      <c r="F14" s="273"/>
      <c r="G14" s="272"/>
      <c r="H14" s="274"/>
    </row>
    <row r="15" spans="2:8" x14ac:dyDescent="0.25">
      <c r="B15" s="41">
        <v>8</v>
      </c>
      <c r="C15" s="59" t="s">
        <v>140</v>
      </c>
      <c r="D15" s="272"/>
      <c r="E15" s="272"/>
      <c r="F15" s="273"/>
      <c r="G15" s="272"/>
      <c r="H15" s="274"/>
    </row>
    <row r="16" spans="2:8" x14ac:dyDescent="0.25">
      <c r="B16" s="41">
        <v>9</v>
      </c>
      <c r="C16" s="59" t="s">
        <v>141</v>
      </c>
      <c r="D16" s="272"/>
      <c r="E16" s="272"/>
      <c r="F16" s="273"/>
      <c r="G16" s="272"/>
      <c r="H16" s="274"/>
    </row>
    <row r="17" spans="2:8" x14ac:dyDescent="0.25">
      <c r="B17" s="41">
        <v>10</v>
      </c>
      <c r="C17" s="59" t="s">
        <v>142</v>
      </c>
      <c r="D17" s="272"/>
      <c r="E17" s="272"/>
      <c r="F17" s="273"/>
      <c r="G17" s="272"/>
      <c r="H17" s="274"/>
    </row>
    <row r="18" spans="2:8" x14ac:dyDescent="0.25">
      <c r="B18" s="41">
        <v>11</v>
      </c>
      <c r="C18" s="59" t="s">
        <v>143</v>
      </c>
      <c r="D18" s="272"/>
      <c r="E18" s="272"/>
      <c r="F18" s="273"/>
      <c r="G18" s="272"/>
      <c r="H18" s="274"/>
    </row>
    <row r="19" spans="2:8" x14ac:dyDescent="0.25">
      <c r="B19" s="56">
        <v>12</v>
      </c>
      <c r="C19" s="51" t="s">
        <v>144</v>
      </c>
      <c r="D19" s="272">
        <f>SUM(D11:D18)</f>
        <v>1429604</v>
      </c>
      <c r="E19" s="272">
        <f t="shared" ref="E19:H19" si="1">SUM(E11:E18)</f>
        <v>1429604</v>
      </c>
      <c r="F19" s="272">
        <f t="shared" si="1"/>
        <v>0</v>
      </c>
      <c r="G19" s="272">
        <f t="shared" si="1"/>
        <v>0</v>
      </c>
      <c r="H19" s="272">
        <f t="shared" si="1"/>
        <v>0</v>
      </c>
    </row>
  </sheetData>
  <sheetProtection algorithmName="SHA-512" hashValue="iwDq1wTvyM+10eSWIOGouKiOO4T11R6OoLtFKPJKgMk4rhRDnRUVdGR8as2KITxZH9nyrYS6KgIDABNnYy/8Ng==" saltValue="IViYMDeVjq4TXZ1R7fx1Bw==" spinCount="100000" sheet="1" objects="1" scenarios="1"/>
  <mergeCells count="2">
    <mergeCell ref="D6:D7"/>
    <mergeCell ref="E6:H6"/>
  </mergeCells>
  <pageMargins left="0.70866141732283472" right="0.70866141732283472" top="0.74803149606299213" bottom="0.74803149606299213" header="0.31496062992125984" footer="0.31496062992125984"/>
  <pageSetup paperSize="9" scale="68" orientation="landscape" r:id="rId1"/>
  <headerFooter>
    <oddHeader>&amp;CDA
Bilag V</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A4686-3FB7-4FBD-9269-9B99A360FF43}">
  <sheetPr>
    <tabColor theme="0" tint="-0.14999847407452621"/>
    <pageSetUpPr fitToPage="1"/>
  </sheetPr>
  <dimension ref="B3:I12"/>
  <sheetViews>
    <sheetView workbookViewId="0"/>
  </sheetViews>
  <sheetFormatPr defaultColWidth="9.140625" defaultRowHeight="15" x14ac:dyDescent="0.25"/>
  <cols>
    <col min="2" max="2" width="20.7109375" customWidth="1"/>
    <col min="3" max="3" width="18.140625" customWidth="1"/>
    <col min="4" max="8" width="14.7109375" customWidth="1"/>
    <col min="9" max="9" width="26.42578125" customWidth="1"/>
  </cols>
  <sheetData>
    <row r="3" spans="2:9" s="54" customFormat="1" ht="18.75" x14ac:dyDescent="0.3">
      <c r="B3" s="40" t="s">
        <v>113</v>
      </c>
    </row>
    <row r="6" spans="2:9" x14ac:dyDescent="0.25">
      <c r="B6" s="21" t="s">
        <v>2</v>
      </c>
      <c r="C6" s="46" t="s">
        <v>3</v>
      </c>
      <c r="D6" s="21" t="s">
        <v>4</v>
      </c>
      <c r="E6" s="21" t="s">
        <v>100</v>
      </c>
      <c r="F6" s="21" t="s">
        <v>99</v>
      </c>
      <c r="G6" s="21" t="s">
        <v>115</v>
      </c>
      <c r="H6" s="21" t="s">
        <v>116</v>
      </c>
      <c r="I6" s="46" t="s">
        <v>145</v>
      </c>
    </row>
    <row r="7" spans="2:9" x14ac:dyDescent="0.25">
      <c r="B7" s="550" t="s">
        <v>146</v>
      </c>
      <c r="C7" s="546" t="s">
        <v>147</v>
      </c>
      <c r="D7" s="551" t="s">
        <v>148</v>
      </c>
      <c r="E7" s="552"/>
      <c r="F7" s="552"/>
      <c r="G7" s="552"/>
      <c r="H7" s="553"/>
      <c r="I7" s="58" t="s">
        <v>149</v>
      </c>
    </row>
    <row r="8" spans="2:9" ht="45" x14ac:dyDescent="0.25">
      <c r="B8" s="550"/>
      <c r="C8" s="546"/>
      <c r="D8" s="21" t="s">
        <v>150</v>
      </c>
      <c r="E8" s="21" t="s">
        <v>151</v>
      </c>
      <c r="F8" s="21" t="s">
        <v>152</v>
      </c>
      <c r="G8" s="21" t="s">
        <v>153</v>
      </c>
      <c r="H8" s="21" t="s">
        <v>154</v>
      </c>
      <c r="I8" s="60"/>
    </row>
    <row r="9" spans="2:9" ht="20.100000000000001" customHeight="1" x14ac:dyDescent="0.25">
      <c r="B9" s="61" t="s">
        <v>176</v>
      </c>
      <c r="C9" s="61" t="s">
        <v>150</v>
      </c>
      <c r="D9" s="62" t="s">
        <v>155</v>
      </c>
      <c r="E9" s="63"/>
      <c r="F9" s="63"/>
      <c r="G9" s="63"/>
      <c r="H9" s="63"/>
      <c r="I9" s="61" t="s">
        <v>177</v>
      </c>
    </row>
    <row r="10" spans="2:9" ht="20.100000000000001" customHeight="1" x14ac:dyDescent="0.25">
      <c r="B10" s="61"/>
      <c r="C10" s="61"/>
      <c r="D10" s="63"/>
      <c r="E10" s="62"/>
      <c r="F10" s="63"/>
      <c r="G10" s="63"/>
      <c r="H10" s="63"/>
      <c r="I10" s="61"/>
    </row>
    <row r="11" spans="2:9" ht="20.100000000000001" customHeight="1" x14ac:dyDescent="0.25">
      <c r="B11" s="61"/>
      <c r="C11" s="61"/>
      <c r="D11" s="63"/>
      <c r="E11" s="63"/>
      <c r="F11" s="63"/>
      <c r="G11" s="62"/>
      <c r="H11" s="62"/>
      <c r="I11" s="61"/>
    </row>
    <row r="12" spans="2:9" ht="20.100000000000001" customHeight="1" x14ac:dyDescent="0.25">
      <c r="B12" s="61"/>
      <c r="C12" s="61"/>
      <c r="D12" s="63"/>
      <c r="E12" s="63"/>
      <c r="F12" s="62"/>
      <c r="G12" s="63"/>
      <c r="H12" s="63"/>
      <c r="I12" s="61"/>
    </row>
  </sheetData>
  <sheetProtection algorithmName="SHA-512" hashValue="fgMVOdfez2oA+vES4wCPN5lwz3onWwO7qB83RgFcYJ0Vfl5y+MK5gm1ZPBrtt/81iW7H80/aKUwG4YHyjvT/8A==" saltValue="k23pu5U1PFtq7QXXU6OrGQ==" spinCount="100000" sheet="1" objects="1" scenarios="1"/>
  <mergeCells count="3">
    <mergeCell ref="B7:B8"/>
    <mergeCell ref="C7:C8"/>
    <mergeCell ref="D7:H7"/>
  </mergeCells>
  <pageMargins left="0.70866141732283472" right="0.70866141732283472" top="0.74803149606299213" bottom="0.74803149606299213" header="0.31496062992125984" footer="0.31496062992125984"/>
  <pageSetup paperSize="9" scale="88" orientation="landscape" r:id="rId1"/>
  <headerFooter>
    <oddHeader>&amp;CDA
Bilag 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F8DFE-A869-4B38-91E7-93CA5A546CB4}">
  <sheetPr>
    <tabColor theme="0" tint="-0.14999847407452621"/>
    <pageSetUpPr fitToPage="1"/>
  </sheetPr>
  <dimension ref="A3:I133"/>
  <sheetViews>
    <sheetView workbookViewId="0">
      <selection activeCell="G8" sqref="G8"/>
    </sheetView>
  </sheetViews>
  <sheetFormatPr defaultColWidth="9" defaultRowHeight="15" x14ac:dyDescent="0.25"/>
  <cols>
    <col min="1" max="1" width="6.28515625" customWidth="1"/>
    <col min="3" max="3" width="57.7109375" customWidth="1"/>
    <col min="4" max="4" width="20.42578125" customWidth="1"/>
    <col min="5" max="5" width="57" hidden="1" customWidth="1"/>
  </cols>
  <sheetData>
    <row r="3" spans="2:9" ht="18.75" x14ac:dyDescent="0.3">
      <c r="B3" s="73" t="s">
        <v>178</v>
      </c>
    </row>
    <row r="4" spans="2:9" ht="18.75" x14ac:dyDescent="0.3">
      <c r="B4" s="73"/>
    </row>
    <row r="5" spans="2:9" ht="18.75" x14ac:dyDescent="0.3">
      <c r="B5" s="73"/>
    </row>
    <row r="6" spans="2:9" x14ac:dyDescent="0.25">
      <c r="D6" s="9" t="s">
        <v>180</v>
      </c>
      <c r="E6" s="9" t="s">
        <v>181</v>
      </c>
    </row>
    <row r="7" spans="2:9" ht="30" x14ac:dyDescent="0.25">
      <c r="D7" s="9" t="s">
        <v>182</v>
      </c>
      <c r="E7" s="9" t="s">
        <v>183</v>
      </c>
    </row>
    <row r="8" spans="2:9" x14ac:dyDescent="0.25">
      <c r="B8" s="569" t="s">
        <v>184</v>
      </c>
      <c r="C8" s="570"/>
      <c r="D8" s="570"/>
      <c r="E8" s="571"/>
    </row>
    <row r="9" spans="2:9" x14ac:dyDescent="0.25">
      <c r="B9" s="74">
        <v>1</v>
      </c>
      <c r="C9" s="75" t="s">
        <v>185</v>
      </c>
      <c r="D9" s="275">
        <v>32857</v>
      </c>
      <c r="E9" s="90" t="s">
        <v>186</v>
      </c>
    </row>
    <row r="10" spans="2:9" x14ac:dyDescent="0.25">
      <c r="B10" s="74"/>
      <c r="C10" s="75" t="s">
        <v>187</v>
      </c>
      <c r="D10" s="275"/>
      <c r="E10" s="91"/>
    </row>
    <row r="11" spans="2:9" x14ac:dyDescent="0.25">
      <c r="B11" s="74"/>
      <c r="C11" s="75" t="s">
        <v>188</v>
      </c>
      <c r="D11" s="275"/>
      <c r="E11" s="91"/>
    </row>
    <row r="12" spans="2:9" x14ac:dyDescent="0.25">
      <c r="B12" s="74"/>
      <c r="C12" s="75" t="s">
        <v>189</v>
      </c>
      <c r="D12" s="275"/>
      <c r="E12" s="91"/>
    </row>
    <row r="13" spans="2:9" x14ac:dyDescent="0.25">
      <c r="B13" s="74">
        <v>2</v>
      </c>
      <c r="C13" s="75" t="s">
        <v>190</v>
      </c>
      <c r="D13" s="275">
        <f>520367-4006+22174</f>
        <v>538535</v>
      </c>
      <c r="E13" s="91"/>
    </row>
    <row r="14" spans="2:9" x14ac:dyDescent="0.25">
      <c r="B14" s="74">
        <v>3</v>
      </c>
      <c r="C14" s="75" t="s">
        <v>191</v>
      </c>
      <c r="D14" s="275">
        <f>-1099+141</f>
        <v>-958</v>
      </c>
      <c r="E14" s="91"/>
      <c r="I14" s="65"/>
    </row>
    <row r="15" spans="2:9" x14ac:dyDescent="0.25">
      <c r="B15" s="74" t="s">
        <v>192</v>
      </c>
      <c r="C15" s="75" t="s">
        <v>193</v>
      </c>
      <c r="D15" s="275"/>
      <c r="E15" s="91"/>
    </row>
    <row r="16" spans="2:9" ht="36" x14ac:dyDescent="0.25">
      <c r="B16" s="74">
        <v>4</v>
      </c>
      <c r="C16" s="75" t="s">
        <v>194</v>
      </c>
      <c r="D16" s="275"/>
      <c r="E16" s="91"/>
    </row>
    <row r="17" spans="2:5" ht="24" x14ac:dyDescent="0.25">
      <c r="B17" s="74">
        <v>5</v>
      </c>
      <c r="C17" s="75" t="s">
        <v>195</v>
      </c>
      <c r="D17" s="275"/>
      <c r="E17" s="91"/>
    </row>
    <row r="18" spans="2:5" ht="24" x14ac:dyDescent="0.25">
      <c r="B18" s="74" t="s">
        <v>196</v>
      </c>
      <c r="C18" s="75" t="s">
        <v>197</v>
      </c>
      <c r="D18" s="275"/>
      <c r="E18" s="91"/>
    </row>
    <row r="19" spans="2:5" x14ac:dyDescent="0.25">
      <c r="B19" s="78">
        <v>6</v>
      </c>
      <c r="C19" s="79" t="s">
        <v>198</v>
      </c>
      <c r="D19" s="276">
        <f>SUM(D9:D18)</f>
        <v>570434</v>
      </c>
      <c r="E19" s="92"/>
    </row>
    <row r="20" spans="2:5" x14ac:dyDescent="0.25">
      <c r="B20" s="554" t="s">
        <v>199</v>
      </c>
      <c r="C20" s="555"/>
      <c r="D20" s="555"/>
      <c r="E20" s="556"/>
    </row>
    <row r="21" spans="2:5" x14ac:dyDescent="0.25">
      <c r="B21" s="74">
        <v>7</v>
      </c>
      <c r="C21" s="81" t="s">
        <v>200</v>
      </c>
      <c r="D21" s="275">
        <v>-1521</v>
      </c>
      <c r="E21" s="91"/>
    </row>
    <row r="22" spans="2:5" ht="24" x14ac:dyDescent="0.25">
      <c r="B22" s="74">
        <v>8</v>
      </c>
      <c r="C22" s="81" t="s">
        <v>201</v>
      </c>
      <c r="D22" s="275">
        <v>-238</v>
      </c>
      <c r="E22" s="90" t="s">
        <v>202</v>
      </c>
    </row>
    <row r="23" spans="2:5" x14ac:dyDescent="0.25">
      <c r="B23" s="74">
        <v>9</v>
      </c>
      <c r="C23" s="81" t="s">
        <v>19</v>
      </c>
      <c r="D23" s="275"/>
      <c r="E23" s="91"/>
    </row>
    <row r="24" spans="2:5" ht="48" x14ac:dyDescent="0.25">
      <c r="B24" s="74">
        <v>10</v>
      </c>
      <c r="C24" s="81" t="s">
        <v>203</v>
      </c>
      <c r="D24" s="275"/>
      <c r="E24" s="91"/>
    </row>
    <row r="25" spans="2:5" ht="36" x14ac:dyDescent="0.25">
      <c r="B25" s="74">
        <v>11</v>
      </c>
      <c r="C25" s="81" t="s">
        <v>204</v>
      </c>
      <c r="D25" s="275"/>
      <c r="E25" s="91"/>
    </row>
    <row r="26" spans="2:5" x14ac:dyDescent="0.25">
      <c r="B26" s="74">
        <v>12</v>
      </c>
      <c r="C26" s="81" t="s">
        <v>205</v>
      </c>
      <c r="D26" s="275"/>
      <c r="E26" s="91"/>
    </row>
    <row r="27" spans="2:5" ht="24" x14ac:dyDescent="0.25">
      <c r="B27" s="74">
        <v>13</v>
      </c>
      <c r="C27" s="81" t="s">
        <v>206</v>
      </c>
      <c r="D27" s="275"/>
      <c r="E27" s="91"/>
    </row>
    <row r="28" spans="2:5" ht="24" x14ac:dyDescent="0.25">
      <c r="B28" s="74">
        <v>14</v>
      </c>
      <c r="C28" s="81" t="s">
        <v>207</v>
      </c>
      <c r="D28" s="275"/>
      <c r="E28" s="91"/>
    </row>
    <row r="29" spans="2:5" x14ac:dyDescent="0.25">
      <c r="B29" s="74">
        <v>15</v>
      </c>
      <c r="C29" s="81" t="s">
        <v>208</v>
      </c>
      <c r="D29" s="275"/>
      <c r="E29" s="91"/>
    </row>
    <row r="30" spans="2:5" ht="24" x14ac:dyDescent="0.25">
      <c r="B30" s="74">
        <v>16</v>
      </c>
      <c r="C30" s="81" t="s">
        <v>209</v>
      </c>
      <c r="D30" s="275"/>
      <c r="E30" s="91"/>
    </row>
    <row r="31" spans="2:5" ht="60" x14ac:dyDescent="0.25">
      <c r="B31" s="74">
        <v>17</v>
      </c>
      <c r="C31" s="81" t="s">
        <v>210</v>
      </c>
      <c r="D31" s="275"/>
      <c r="E31" s="91"/>
    </row>
    <row r="32" spans="2:5" ht="60" x14ac:dyDescent="0.25">
      <c r="B32" s="74">
        <v>18</v>
      </c>
      <c r="C32" s="81" t="s">
        <v>211</v>
      </c>
      <c r="D32" s="275">
        <v>-102882</v>
      </c>
      <c r="E32" s="91"/>
    </row>
    <row r="33" spans="2:6" ht="60" x14ac:dyDescent="0.25">
      <c r="B33" s="74">
        <v>19</v>
      </c>
      <c r="C33" s="81" t="s">
        <v>212</v>
      </c>
      <c r="D33" s="275"/>
      <c r="E33" s="91"/>
    </row>
    <row r="34" spans="2:6" x14ac:dyDescent="0.25">
      <c r="B34" s="74">
        <v>20</v>
      </c>
      <c r="C34" s="81" t="s">
        <v>19</v>
      </c>
      <c r="D34" s="275"/>
      <c r="E34" s="91"/>
    </row>
    <row r="35" spans="2:6" ht="36" x14ac:dyDescent="0.25">
      <c r="B35" s="74" t="s">
        <v>213</v>
      </c>
      <c r="C35" s="81" t="s">
        <v>214</v>
      </c>
      <c r="D35" s="275"/>
      <c r="E35" s="91"/>
    </row>
    <row r="36" spans="2:6" ht="24" x14ac:dyDescent="0.25">
      <c r="B36" s="74" t="s">
        <v>215</v>
      </c>
      <c r="C36" s="81" t="s">
        <v>216</v>
      </c>
      <c r="D36" s="275"/>
      <c r="E36" s="91"/>
    </row>
    <row r="37" spans="2:6" x14ac:dyDescent="0.25">
      <c r="B37" s="74" t="s">
        <v>217</v>
      </c>
      <c r="C37" s="77" t="s">
        <v>218</v>
      </c>
      <c r="D37" s="275"/>
      <c r="E37" s="91"/>
    </row>
    <row r="38" spans="2:6" x14ac:dyDescent="0.25">
      <c r="B38" s="74" t="s">
        <v>219</v>
      </c>
      <c r="C38" s="81" t="s">
        <v>220</v>
      </c>
      <c r="D38" s="275"/>
      <c r="E38" s="91"/>
    </row>
    <row r="39" spans="2:6" ht="36" x14ac:dyDescent="0.25">
      <c r="B39" s="74">
        <v>21</v>
      </c>
      <c r="C39" s="81" t="s">
        <v>221</v>
      </c>
      <c r="D39" s="275"/>
      <c r="E39" s="91"/>
    </row>
    <row r="40" spans="2:6" x14ac:dyDescent="0.25">
      <c r="B40" s="74">
        <v>22</v>
      </c>
      <c r="C40" s="81" t="s">
        <v>222</v>
      </c>
      <c r="D40" s="275"/>
      <c r="E40" s="91"/>
    </row>
    <row r="41" spans="2:6" ht="36" x14ac:dyDescent="0.25">
      <c r="B41" s="74">
        <v>23</v>
      </c>
      <c r="C41" s="81" t="s">
        <v>223</v>
      </c>
      <c r="D41" s="275"/>
      <c r="E41" s="91"/>
    </row>
    <row r="42" spans="2:6" x14ac:dyDescent="0.25">
      <c r="B42" s="74">
        <v>24</v>
      </c>
      <c r="C42" s="81" t="s">
        <v>19</v>
      </c>
      <c r="D42" s="275"/>
      <c r="E42" s="91"/>
    </row>
    <row r="43" spans="2:6" x14ac:dyDescent="0.25">
      <c r="B43" s="74">
        <v>25</v>
      </c>
      <c r="C43" s="81" t="s">
        <v>224</v>
      </c>
      <c r="D43" s="275"/>
      <c r="E43" s="91"/>
    </row>
    <row r="44" spans="2:6" x14ac:dyDescent="0.25">
      <c r="B44" s="74" t="s">
        <v>225</v>
      </c>
      <c r="C44" s="81" t="s">
        <v>226</v>
      </c>
      <c r="D44" s="275"/>
      <c r="E44" s="91"/>
    </row>
    <row r="45" spans="2:6" ht="48" x14ac:dyDescent="0.25">
      <c r="B45" s="74" t="s">
        <v>227</v>
      </c>
      <c r="C45" s="81" t="s">
        <v>228</v>
      </c>
      <c r="D45" s="275"/>
      <c r="E45" s="91"/>
    </row>
    <row r="46" spans="2:6" x14ac:dyDescent="0.25">
      <c r="B46" s="74">
        <v>26</v>
      </c>
      <c r="C46" s="81" t="s">
        <v>19</v>
      </c>
      <c r="D46" s="275"/>
      <c r="E46" s="91"/>
    </row>
    <row r="47" spans="2:6" ht="24" x14ac:dyDescent="0.25">
      <c r="B47" s="74">
        <v>27</v>
      </c>
      <c r="C47" s="81" t="s">
        <v>229</v>
      </c>
      <c r="D47" s="275"/>
      <c r="E47" s="91"/>
      <c r="F47" s="82"/>
    </row>
    <row r="48" spans="2:6" x14ac:dyDescent="0.25">
      <c r="B48" s="74" t="s">
        <v>230</v>
      </c>
      <c r="C48" s="81" t="s">
        <v>231</v>
      </c>
      <c r="D48" s="275">
        <v>-7578</v>
      </c>
      <c r="E48" s="91"/>
      <c r="F48" s="82"/>
    </row>
    <row r="49" spans="2:5" x14ac:dyDescent="0.25">
      <c r="B49" s="74">
        <v>28</v>
      </c>
      <c r="C49" s="83" t="s">
        <v>232</v>
      </c>
      <c r="D49" s="276">
        <f>SUM(D21:D48)</f>
        <v>-112219</v>
      </c>
      <c r="E49" s="91"/>
    </row>
    <row r="50" spans="2:5" x14ac:dyDescent="0.25">
      <c r="B50" s="74">
        <v>29</v>
      </c>
      <c r="C50" s="83" t="s">
        <v>233</v>
      </c>
      <c r="D50" s="276">
        <f>+D19+D49</f>
        <v>458215</v>
      </c>
      <c r="E50" s="91"/>
    </row>
    <row r="51" spans="2:5" x14ac:dyDescent="0.25">
      <c r="B51" s="554" t="s">
        <v>234</v>
      </c>
      <c r="C51" s="555"/>
      <c r="D51" s="555"/>
      <c r="E51" s="556"/>
    </row>
    <row r="52" spans="2:5" x14ac:dyDescent="0.25">
      <c r="B52" s="74">
        <v>30</v>
      </c>
      <c r="C52" s="81" t="s">
        <v>235</v>
      </c>
      <c r="D52" s="275">
        <v>50000</v>
      </c>
      <c r="E52" s="90" t="s">
        <v>236</v>
      </c>
    </row>
    <row r="53" spans="2:5" ht="24" x14ac:dyDescent="0.25">
      <c r="B53" s="74">
        <v>31</v>
      </c>
      <c r="C53" s="81" t="s">
        <v>237</v>
      </c>
      <c r="D53" s="275">
        <v>50000</v>
      </c>
      <c r="E53" s="91"/>
    </row>
    <row r="54" spans="2:5" ht="24" x14ac:dyDescent="0.25">
      <c r="B54" s="74">
        <v>32</v>
      </c>
      <c r="C54" s="81" t="s">
        <v>238</v>
      </c>
      <c r="D54" s="275"/>
      <c r="E54" s="91"/>
    </row>
    <row r="55" spans="2:5" ht="36" x14ac:dyDescent="0.25">
      <c r="B55" s="74">
        <v>33</v>
      </c>
      <c r="C55" s="81" t="s">
        <v>239</v>
      </c>
      <c r="D55" s="275"/>
      <c r="E55" s="91"/>
    </row>
    <row r="56" spans="2:5" s="17" customFormat="1" ht="24" x14ac:dyDescent="0.25">
      <c r="B56" s="74" t="s">
        <v>240</v>
      </c>
      <c r="C56" s="81" t="s">
        <v>241</v>
      </c>
      <c r="D56" s="275"/>
      <c r="E56" s="91"/>
    </row>
    <row r="57" spans="2:5" s="17" customFormat="1" ht="24" x14ac:dyDescent="0.25">
      <c r="B57" s="74" t="s">
        <v>242</v>
      </c>
      <c r="C57" s="81" t="s">
        <v>243</v>
      </c>
      <c r="D57" s="275"/>
      <c r="E57" s="91"/>
    </row>
    <row r="58" spans="2:5" ht="48" x14ac:dyDescent="0.25">
      <c r="B58" s="74">
        <v>34</v>
      </c>
      <c r="C58" s="81" t="s">
        <v>244</v>
      </c>
      <c r="D58" s="275"/>
      <c r="E58" s="91"/>
    </row>
    <row r="59" spans="2:5" ht="24" x14ac:dyDescent="0.25">
      <c r="B59" s="74">
        <v>35</v>
      </c>
      <c r="C59" s="81" t="s">
        <v>245</v>
      </c>
      <c r="D59" s="275"/>
      <c r="E59" s="91"/>
    </row>
    <row r="60" spans="2:5" x14ac:dyDescent="0.25">
      <c r="B60" s="78">
        <v>36</v>
      </c>
      <c r="C60" s="83" t="s">
        <v>246</v>
      </c>
      <c r="D60" s="276">
        <v>50000</v>
      </c>
      <c r="E60" s="91"/>
    </row>
    <row r="61" spans="2:5" x14ac:dyDescent="0.25">
      <c r="B61" s="554" t="s">
        <v>247</v>
      </c>
      <c r="C61" s="555"/>
      <c r="D61" s="555"/>
      <c r="E61" s="556"/>
    </row>
    <row r="62" spans="2:5" ht="24" x14ac:dyDescent="0.25">
      <c r="B62" s="74">
        <v>37</v>
      </c>
      <c r="C62" s="81" t="s">
        <v>248</v>
      </c>
      <c r="D62" s="275"/>
      <c r="E62" s="91"/>
    </row>
    <row r="63" spans="2:5" ht="60" x14ac:dyDescent="0.25">
      <c r="B63" s="74">
        <v>38</v>
      </c>
      <c r="C63" s="81" t="s">
        <v>249</v>
      </c>
      <c r="D63" s="275"/>
      <c r="E63" s="91"/>
    </row>
    <row r="64" spans="2:5" ht="60" x14ac:dyDescent="0.25">
      <c r="B64" s="74">
        <v>39</v>
      </c>
      <c r="C64" s="81" t="s">
        <v>250</v>
      </c>
      <c r="D64" s="275"/>
      <c r="E64" s="91"/>
    </row>
    <row r="65" spans="1:5" ht="48" x14ac:dyDescent="0.25">
      <c r="B65" s="74">
        <v>40</v>
      </c>
      <c r="C65" s="81" t="s">
        <v>251</v>
      </c>
      <c r="D65" s="275"/>
      <c r="E65" s="91"/>
    </row>
    <row r="66" spans="1:5" x14ac:dyDescent="0.25">
      <c r="B66" s="74">
        <v>41</v>
      </c>
      <c r="C66" s="81" t="s">
        <v>19</v>
      </c>
      <c r="D66" s="275"/>
      <c r="E66" s="91"/>
    </row>
    <row r="67" spans="1:5" ht="24" x14ac:dyDescent="0.25">
      <c r="B67" s="74">
        <v>42</v>
      </c>
      <c r="C67" s="81" t="s">
        <v>252</v>
      </c>
      <c r="D67" s="275"/>
      <c r="E67" s="91"/>
    </row>
    <row r="68" spans="1:5" x14ac:dyDescent="0.25">
      <c r="B68" s="74" t="s">
        <v>253</v>
      </c>
      <c r="C68" s="81" t="s">
        <v>254</v>
      </c>
      <c r="D68" s="275"/>
      <c r="E68" s="91"/>
    </row>
    <row r="69" spans="1:5" x14ac:dyDescent="0.25">
      <c r="B69" s="78">
        <v>43</v>
      </c>
      <c r="C69" s="83" t="s">
        <v>255</v>
      </c>
      <c r="D69" s="276">
        <v>0</v>
      </c>
      <c r="E69" s="91"/>
    </row>
    <row r="70" spans="1:5" x14ac:dyDescent="0.25">
      <c r="B70" s="78">
        <v>44</v>
      </c>
      <c r="C70" s="83" t="s">
        <v>256</v>
      </c>
      <c r="D70" s="276">
        <f>+D60-D69</f>
        <v>50000</v>
      </c>
      <c r="E70" s="91"/>
    </row>
    <row r="71" spans="1:5" ht="26.25" customHeight="1" x14ac:dyDescent="0.25">
      <c r="B71" s="78">
        <v>45</v>
      </c>
      <c r="C71" s="83" t="s">
        <v>257</v>
      </c>
      <c r="D71" s="276">
        <f>+D50+D70</f>
        <v>508215</v>
      </c>
      <c r="E71" s="91"/>
    </row>
    <row r="72" spans="1:5" x14ac:dyDescent="0.25">
      <c r="B72" s="554" t="s">
        <v>258</v>
      </c>
      <c r="C72" s="555"/>
      <c r="D72" s="555"/>
      <c r="E72" s="556"/>
    </row>
    <row r="73" spans="1:5" x14ac:dyDescent="0.25">
      <c r="B73" s="74">
        <v>46</v>
      </c>
      <c r="C73" s="81" t="s">
        <v>235</v>
      </c>
      <c r="D73" s="275">
        <v>84465</v>
      </c>
      <c r="E73" s="91"/>
    </row>
    <row r="74" spans="1:5" ht="36" x14ac:dyDescent="0.25">
      <c r="B74" s="74">
        <v>47</v>
      </c>
      <c r="C74" s="81" t="s">
        <v>259</v>
      </c>
      <c r="D74" s="275"/>
      <c r="E74" s="91"/>
    </row>
    <row r="75" spans="1:5" s="17" customFormat="1" ht="24" x14ac:dyDescent="0.25">
      <c r="A75" s="2"/>
      <c r="B75" s="74" t="s">
        <v>260</v>
      </c>
      <c r="C75" s="81" t="s">
        <v>261</v>
      </c>
      <c r="D75" s="275"/>
      <c r="E75" s="91"/>
    </row>
    <row r="76" spans="1:5" s="17" customFormat="1" ht="24" x14ac:dyDescent="0.25">
      <c r="A76" s="2"/>
      <c r="B76" s="74" t="s">
        <v>262</v>
      </c>
      <c r="C76" s="81" t="s">
        <v>263</v>
      </c>
      <c r="D76" s="275"/>
      <c r="E76" s="91"/>
    </row>
    <row r="77" spans="1:5" ht="48" x14ac:dyDescent="0.25">
      <c r="B77" s="74">
        <v>48</v>
      </c>
      <c r="C77" s="81" t="s">
        <v>264</v>
      </c>
      <c r="D77" s="503"/>
      <c r="E77" s="91"/>
    </row>
    <row r="78" spans="1:5" ht="24" x14ac:dyDescent="0.25">
      <c r="B78" s="74">
        <v>49</v>
      </c>
      <c r="C78" s="81" t="s">
        <v>265</v>
      </c>
      <c r="D78" s="275"/>
      <c r="E78" s="91"/>
    </row>
    <row r="79" spans="1:5" x14ac:dyDescent="0.25">
      <c r="B79" s="74">
        <v>50</v>
      </c>
      <c r="C79" s="81" t="s">
        <v>266</v>
      </c>
      <c r="D79" s="275"/>
      <c r="E79" s="91"/>
    </row>
    <row r="80" spans="1:5" x14ac:dyDescent="0.25">
      <c r="B80" s="78">
        <v>51</v>
      </c>
      <c r="C80" s="83" t="s">
        <v>267</v>
      </c>
      <c r="D80" s="276">
        <f>SUM(D73:D79)</f>
        <v>84465</v>
      </c>
      <c r="E80" s="92"/>
    </row>
    <row r="81" spans="2:7" x14ac:dyDescent="0.25">
      <c r="B81" s="554" t="s">
        <v>268</v>
      </c>
      <c r="C81" s="555"/>
      <c r="D81" s="555"/>
      <c r="E81" s="556"/>
    </row>
    <row r="82" spans="2:7" ht="24" x14ac:dyDescent="0.25">
      <c r="B82" s="74">
        <v>52</v>
      </c>
      <c r="C82" s="81" t="s">
        <v>269</v>
      </c>
      <c r="D82" s="76"/>
      <c r="E82" s="91"/>
    </row>
    <row r="83" spans="2:7" ht="60" x14ac:dyDescent="0.25">
      <c r="B83" s="74">
        <v>53</v>
      </c>
      <c r="C83" s="81" t="s">
        <v>270</v>
      </c>
      <c r="D83" s="76"/>
      <c r="E83" s="91"/>
    </row>
    <row r="84" spans="2:7" ht="48" x14ac:dyDescent="0.25">
      <c r="B84" s="74">
        <v>54</v>
      </c>
      <c r="C84" s="81" t="s">
        <v>271</v>
      </c>
      <c r="D84" s="275">
        <v>6000</v>
      </c>
      <c r="E84" s="91"/>
    </row>
    <row r="85" spans="2:7" x14ac:dyDescent="0.25">
      <c r="B85" s="74" t="s">
        <v>272</v>
      </c>
      <c r="C85" s="81" t="s">
        <v>19</v>
      </c>
      <c r="D85" s="275"/>
      <c r="E85" s="91"/>
    </row>
    <row r="86" spans="2:7" ht="48" x14ac:dyDescent="0.25">
      <c r="B86" s="74">
        <v>55</v>
      </c>
      <c r="C86" s="81" t="s">
        <v>273</v>
      </c>
      <c r="D86" s="275"/>
      <c r="E86" s="91"/>
    </row>
    <row r="87" spans="2:7" x14ac:dyDescent="0.25">
      <c r="B87" s="74">
        <v>56</v>
      </c>
      <c r="C87" s="81" t="s">
        <v>19</v>
      </c>
      <c r="D87" s="275"/>
      <c r="E87" s="91"/>
    </row>
    <row r="88" spans="2:7" ht="24" x14ac:dyDescent="0.25">
      <c r="B88" s="74" t="s">
        <v>274</v>
      </c>
      <c r="C88" s="77" t="s">
        <v>275</v>
      </c>
      <c r="D88" s="276"/>
      <c r="E88" s="91"/>
    </row>
    <row r="89" spans="2:7" x14ac:dyDescent="0.25">
      <c r="B89" s="74" t="s">
        <v>276</v>
      </c>
      <c r="C89" s="77" t="s">
        <v>277</v>
      </c>
      <c r="D89" s="276"/>
      <c r="E89" s="91"/>
    </row>
    <row r="90" spans="2:7" x14ac:dyDescent="0.25">
      <c r="B90" s="78">
        <v>57</v>
      </c>
      <c r="C90" s="80" t="s">
        <v>278</v>
      </c>
      <c r="D90" s="276">
        <f>SUM(D82:D89)</f>
        <v>6000</v>
      </c>
      <c r="E90" s="91"/>
    </row>
    <row r="91" spans="2:7" x14ac:dyDescent="0.25">
      <c r="B91" s="78">
        <v>58</v>
      </c>
      <c r="C91" s="80" t="s">
        <v>279</v>
      </c>
      <c r="D91" s="276">
        <f>+D80-D90</f>
        <v>78465</v>
      </c>
      <c r="E91" s="91"/>
    </row>
    <row r="92" spans="2:7" ht="23.25" customHeight="1" x14ac:dyDescent="0.25">
      <c r="B92" s="78">
        <v>59</v>
      </c>
      <c r="C92" s="80" t="s">
        <v>280</v>
      </c>
      <c r="D92" s="276">
        <f>+D71+D91</f>
        <v>586680</v>
      </c>
      <c r="E92" s="91"/>
    </row>
    <row r="93" spans="2:7" x14ac:dyDescent="0.25">
      <c r="B93" s="78">
        <v>60</v>
      </c>
      <c r="C93" s="80" t="s">
        <v>91</v>
      </c>
      <c r="D93" s="276">
        <f>+'EU OV1'!D44</f>
        <v>2554800.787</v>
      </c>
      <c r="E93" s="92"/>
    </row>
    <row r="94" spans="2:7" x14ac:dyDescent="0.25">
      <c r="B94" s="554" t="s">
        <v>281</v>
      </c>
      <c r="C94" s="555"/>
      <c r="D94" s="555"/>
      <c r="E94" s="556"/>
    </row>
    <row r="95" spans="2:7" x14ac:dyDescent="0.25">
      <c r="B95" s="74">
        <v>61</v>
      </c>
      <c r="C95" s="81" t="s">
        <v>282</v>
      </c>
      <c r="D95" s="277">
        <f>+D50/D93</f>
        <v>0.17935449305151635</v>
      </c>
      <c r="E95" s="91"/>
      <c r="G95" s="499"/>
    </row>
    <row r="96" spans="2:7" x14ac:dyDescent="0.25">
      <c r="B96" s="74">
        <v>62</v>
      </c>
      <c r="C96" s="81" t="s">
        <v>283</v>
      </c>
      <c r="D96" s="277">
        <f>+D71/D93</f>
        <v>0.19892549062378223</v>
      </c>
      <c r="E96" s="91"/>
      <c r="G96" s="499"/>
    </row>
    <row r="97" spans="2:7" x14ac:dyDescent="0.25">
      <c r="B97" s="74">
        <v>63</v>
      </c>
      <c r="C97" s="81" t="s">
        <v>284</v>
      </c>
      <c r="D97" s="277">
        <f>+D92/D93</f>
        <v>0.22963825711393912</v>
      </c>
      <c r="E97" s="91"/>
      <c r="G97" s="499"/>
    </row>
    <row r="98" spans="2:7" x14ac:dyDescent="0.25">
      <c r="B98" s="74">
        <v>64</v>
      </c>
      <c r="C98" s="81" t="s">
        <v>285</v>
      </c>
      <c r="D98" s="504">
        <f>2.5%+2%+5.85%</f>
        <v>0.10349999999999999</v>
      </c>
      <c r="E98" s="91"/>
      <c r="G98" s="17"/>
    </row>
    <row r="99" spans="2:7" x14ac:dyDescent="0.25">
      <c r="B99" s="74">
        <v>65</v>
      </c>
      <c r="C99" s="77" t="s">
        <v>286</v>
      </c>
      <c r="D99" s="504">
        <v>2.5000000000000001E-2</v>
      </c>
      <c r="E99" s="91"/>
    </row>
    <row r="100" spans="2:7" x14ac:dyDescent="0.25">
      <c r="B100" s="74">
        <v>66</v>
      </c>
      <c r="C100" s="77" t="s">
        <v>287</v>
      </c>
      <c r="D100" s="504">
        <v>0.02</v>
      </c>
      <c r="E100" s="91"/>
    </row>
    <row r="101" spans="2:7" x14ac:dyDescent="0.25">
      <c r="B101" s="74">
        <v>67</v>
      </c>
      <c r="C101" s="77" t="s">
        <v>288</v>
      </c>
      <c r="D101" s="504">
        <v>0</v>
      </c>
      <c r="E101" s="91"/>
    </row>
    <row r="102" spans="2:7" x14ac:dyDescent="0.25">
      <c r="B102" s="74" t="s">
        <v>289</v>
      </c>
      <c r="C102" s="81" t="s">
        <v>290</v>
      </c>
      <c r="D102" s="504">
        <v>0</v>
      </c>
      <c r="E102" s="91"/>
    </row>
    <row r="103" spans="2:7" ht="24" x14ac:dyDescent="0.25">
      <c r="B103" s="74" t="s">
        <v>291</v>
      </c>
      <c r="C103" s="81" t="s">
        <v>292</v>
      </c>
      <c r="D103" s="504">
        <f>2.4%*0.5625</f>
        <v>1.35E-2</v>
      </c>
      <c r="E103" s="91"/>
    </row>
    <row r="104" spans="2:7" ht="24" x14ac:dyDescent="0.25">
      <c r="B104" s="74">
        <v>68</v>
      </c>
      <c r="C104" s="83" t="s">
        <v>293</v>
      </c>
      <c r="D104" s="504">
        <f>+D95-D98</f>
        <v>7.5854493051516356E-2</v>
      </c>
      <c r="E104" s="91"/>
      <c r="G104" s="17"/>
    </row>
    <row r="105" spans="2:7" x14ac:dyDescent="0.25">
      <c r="B105" s="554" t="s">
        <v>294</v>
      </c>
      <c r="C105" s="555"/>
      <c r="D105" s="555"/>
      <c r="E105" s="556"/>
    </row>
    <row r="106" spans="2:7" x14ac:dyDescent="0.25">
      <c r="B106" s="74">
        <v>69</v>
      </c>
      <c r="C106" s="84" t="s">
        <v>295</v>
      </c>
      <c r="D106" s="76"/>
      <c r="E106" s="91"/>
    </row>
    <row r="107" spans="2:7" x14ac:dyDescent="0.25">
      <c r="B107" s="74">
        <v>70</v>
      </c>
      <c r="C107" s="84" t="s">
        <v>295</v>
      </c>
      <c r="D107" s="76"/>
      <c r="E107" s="91"/>
    </row>
    <row r="108" spans="2:7" x14ac:dyDescent="0.25">
      <c r="B108" s="74">
        <v>71</v>
      </c>
      <c r="C108" s="84" t="s">
        <v>295</v>
      </c>
      <c r="D108" s="76"/>
      <c r="E108" s="91"/>
    </row>
    <row r="109" spans="2:7" x14ac:dyDescent="0.25">
      <c r="B109" s="554" t="s">
        <v>296</v>
      </c>
      <c r="C109" s="555"/>
      <c r="D109" s="555"/>
      <c r="E109" s="556"/>
    </row>
    <row r="110" spans="2:7" x14ac:dyDescent="0.25">
      <c r="B110" s="560">
        <v>72</v>
      </c>
      <c r="C110" s="563" t="s">
        <v>297</v>
      </c>
      <c r="D110" s="560"/>
      <c r="E110" s="566"/>
    </row>
    <row r="111" spans="2:7" x14ac:dyDescent="0.25">
      <c r="B111" s="561"/>
      <c r="C111" s="564"/>
      <c r="D111" s="561"/>
      <c r="E111" s="567"/>
    </row>
    <row r="112" spans="2:7" x14ac:dyDescent="0.25">
      <c r="B112" s="562"/>
      <c r="C112" s="565"/>
      <c r="D112" s="562"/>
      <c r="E112" s="568"/>
    </row>
    <row r="113" spans="2:5" ht="48" x14ac:dyDescent="0.25">
      <c r="B113" s="74">
        <v>73</v>
      </c>
      <c r="C113" s="81" t="s">
        <v>298</v>
      </c>
      <c r="D113" s="76"/>
      <c r="E113" s="91"/>
    </row>
    <row r="114" spans="2:5" x14ac:dyDescent="0.25">
      <c r="B114" s="74">
        <v>74</v>
      </c>
      <c r="C114" s="81" t="s">
        <v>19</v>
      </c>
      <c r="D114" s="76"/>
      <c r="E114" s="91"/>
    </row>
    <row r="115" spans="2:5" ht="36" x14ac:dyDescent="0.25">
      <c r="B115" s="74">
        <v>75</v>
      </c>
      <c r="C115" s="81" t="s">
        <v>299</v>
      </c>
      <c r="D115" s="76"/>
      <c r="E115" s="91"/>
    </row>
    <row r="116" spans="2:5" x14ac:dyDescent="0.25">
      <c r="B116" s="554" t="s">
        <v>300</v>
      </c>
      <c r="C116" s="555"/>
      <c r="D116" s="555"/>
      <c r="E116" s="556"/>
    </row>
    <row r="117" spans="2:5" ht="36" x14ac:dyDescent="0.25">
      <c r="B117" s="74">
        <v>76</v>
      </c>
      <c r="C117" s="81" t="s">
        <v>301</v>
      </c>
      <c r="D117" s="76"/>
      <c r="E117" s="91"/>
    </row>
    <row r="118" spans="2:5" ht="24" x14ac:dyDescent="0.25">
      <c r="B118" s="74">
        <v>77</v>
      </c>
      <c r="C118" s="81" t="s">
        <v>302</v>
      </c>
      <c r="D118" s="76"/>
      <c r="E118" s="91"/>
    </row>
    <row r="119" spans="2:5" ht="36" x14ac:dyDescent="0.25">
      <c r="B119" s="74">
        <v>78</v>
      </c>
      <c r="C119" s="81" t="s">
        <v>303</v>
      </c>
      <c r="D119" s="76"/>
      <c r="E119" s="91"/>
    </row>
    <row r="120" spans="2:5" ht="24" x14ac:dyDescent="0.25">
      <c r="B120" s="74">
        <v>79</v>
      </c>
      <c r="C120" s="81" t="s">
        <v>304</v>
      </c>
      <c r="D120" s="76"/>
      <c r="E120" s="91"/>
    </row>
    <row r="121" spans="2:5" x14ac:dyDescent="0.25">
      <c r="B121" s="557" t="s">
        <v>305</v>
      </c>
      <c r="C121" s="558"/>
      <c r="D121" s="558"/>
      <c r="E121" s="559"/>
    </row>
    <row r="122" spans="2:5" ht="24" x14ac:dyDescent="0.25">
      <c r="B122" s="74">
        <v>80</v>
      </c>
      <c r="C122" s="81" t="s">
        <v>306</v>
      </c>
      <c r="D122" s="81"/>
      <c r="E122" s="91"/>
    </row>
    <row r="123" spans="2:5" ht="24" x14ac:dyDescent="0.25">
      <c r="B123" s="74">
        <v>81</v>
      </c>
      <c r="C123" s="81" t="s">
        <v>307</v>
      </c>
      <c r="D123" s="81"/>
      <c r="E123" s="91"/>
    </row>
    <row r="124" spans="2:5" ht="24" x14ac:dyDescent="0.25">
      <c r="B124" s="74">
        <v>82</v>
      </c>
      <c r="C124" s="81" t="s">
        <v>308</v>
      </c>
      <c r="D124" s="75"/>
      <c r="E124" s="91"/>
    </row>
    <row r="125" spans="2:5" ht="24" x14ac:dyDescent="0.25">
      <c r="B125" s="74">
        <v>83</v>
      </c>
      <c r="C125" s="81" t="s">
        <v>309</v>
      </c>
      <c r="D125" s="75"/>
      <c r="E125" s="91"/>
    </row>
    <row r="126" spans="2:5" ht="24" x14ac:dyDescent="0.25">
      <c r="B126" s="74">
        <v>84</v>
      </c>
      <c r="C126" s="81" t="s">
        <v>310</v>
      </c>
      <c r="D126" s="75"/>
      <c r="E126" s="91"/>
    </row>
    <row r="127" spans="2:5" ht="24" x14ac:dyDescent="0.25">
      <c r="B127" s="74">
        <v>85</v>
      </c>
      <c r="C127" s="81" t="s">
        <v>311</v>
      </c>
      <c r="D127" s="75"/>
      <c r="E127" s="91"/>
    </row>
    <row r="128" spans="2:5" x14ac:dyDescent="0.25">
      <c r="B128" s="85"/>
    </row>
    <row r="129" spans="2:2" x14ac:dyDescent="0.25">
      <c r="B129" s="85"/>
    </row>
    <row r="130" spans="2:2" x14ac:dyDescent="0.25">
      <c r="B130" s="86"/>
    </row>
    <row r="131" spans="2:2" x14ac:dyDescent="0.25">
      <c r="B131" s="86"/>
    </row>
    <row r="132" spans="2:2" x14ac:dyDescent="0.25">
      <c r="B132" s="86"/>
    </row>
    <row r="133" spans="2:2" x14ac:dyDescent="0.25">
      <c r="B133" s="86"/>
    </row>
  </sheetData>
  <sheetProtection algorithmName="SHA-512" hashValue="hyPWVds8vr/e3wnCpRPFuCv0U/pKvv3U/tT/DKYV7HFCjiAgTwl09BkcrohpiQKam3yzZpy6ujowK4omNh3+Hw==" saltValue="/pfsYZkMsxHVWVlIIuyG+g==" spinCount="100000" sheet="1" objects="1" scenarios="1"/>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62992125984251968" right="0.23622047244094491" top="0.74803149606299213" bottom="0.74803149606299213" header="0.31496062992125984" footer="0.31496062992125984"/>
  <pageSetup paperSize="9" fitToHeight="0" orientation="portrait" r:id="rId1"/>
  <headerFooter>
    <oddHeader>&amp;CDA
Bilag 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11B35-B800-4B54-8A37-62D54B2BF93F}">
  <sheetPr>
    <tabColor theme="0" tint="-0.14999847407452621"/>
    <pageSetUpPr fitToPage="1"/>
  </sheetPr>
  <dimension ref="A3:O36"/>
  <sheetViews>
    <sheetView workbookViewId="0"/>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8.42578125" customWidth="1"/>
    <col min="9" max="9" width="14" customWidth="1"/>
    <col min="10" max="10" width="18.85546875" customWidth="1"/>
    <col min="11" max="11" width="20.28515625" customWidth="1"/>
    <col min="12" max="12" width="14.28515625" customWidth="1"/>
    <col min="13" max="13" width="13.140625" customWidth="1"/>
    <col min="14" max="15" width="14.5703125" customWidth="1"/>
  </cols>
  <sheetData>
    <row r="3" spans="1:15" x14ac:dyDescent="0.25">
      <c r="B3" s="93" t="s">
        <v>314</v>
      </c>
    </row>
    <row r="4" spans="1:15" ht="18.75" x14ac:dyDescent="0.25">
      <c r="B4" s="40"/>
    </row>
    <row r="6" spans="1:15" x14ac:dyDescent="0.25">
      <c r="A6" s="11"/>
      <c r="B6" s="11"/>
      <c r="C6" s="94" t="s">
        <v>2</v>
      </c>
      <c r="D6" s="94" t="s">
        <v>3</v>
      </c>
      <c r="E6" s="94" t="s">
        <v>4</v>
      </c>
      <c r="F6" s="94" t="s">
        <v>100</v>
      </c>
      <c r="G6" s="94" t="s">
        <v>99</v>
      </c>
      <c r="H6" s="94" t="s">
        <v>115</v>
      </c>
      <c r="I6" s="94" t="s">
        <v>116</v>
      </c>
      <c r="J6" s="94" t="s">
        <v>145</v>
      </c>
      <c r="K6" s="94" t="s">
        <v>316</v>
      </c>
      <c r="L6" s="94" t="s">
        <v>317</v>
      </c>
      <c r="M6" s="94" t="s">
        <v>318</v>
      </c>
      <c r="N6" s="94" t="s">
        <v>319</v>
      </c>
      <c r="O6" s="94" t="s">
        <v>320</v>
      </c>
    </row>
    <row r="7" spans="1:15" ht="15.75" customHeight="1" x14ac:dyDescent="0.25">
      <c r="A7" s="11"/>
      <c r="B7" s="11"/>
      <c r="C7" s="575" t="s">
        <v>321</v>
      </c>
      <c r="D7" s="576"/>
      <c r="E7" s="575" t="s">
        <v>322</v>
      </c>
      <c r="F7" s="576"/>
      <c r="G7" s="572" t="s">
        <v>323</v>
      </c>
      <c r="H7" s="572" t="s">
        <v>847</v>
      </c>
      <c r="I7" s="575" t="s">
        <v>324</v>
      </c>
      <c r="J7" s="579"/>
      <c r="K7" s="579"/>
      <c r="L7" s="576"/>
      <c r="M7" s="572" t="s">
        <v>325</v>
      </c>
      <c r="N7" s="572" t="s">
        <v>326</v>
      </c>
      <c r="O7" s="572" t="s">
        <v>327</v>
      </c>
    </row>
    <row r="8" spans="1:15" x14ac:dyDescent="0.25">
      <c r="A8" s="11"/>
      <c r="B8" s="11"/>
      <c r="C8" s="577"/>
      <c r="D8" s="578"/>
      <c r="E8" s="577"/>
      <c r="F8" s="578"/>
      <c r="G8" s="573"/>
      <c r="H8" s="573"/>
      <c r="I8" s="577"/>
      <c r="J8" s="580"/>
      <c r="K8" s="580"/>
      <c r="L8" s="581"/>
      <c r="M8" s="573"/>
      <c r="N8" s="573"/>
      <c r="O8" s="573"/>
    </row>
    <row r="9" spans="1:15" ht="60" x14ac:dyDescent="0.25">
      <c r="A9" s="11"/>
      <c r="B9" s="11"/>
      <c r="C9" s="94" t="s">
        <v>328</v>
      </c>
      <c r="D9" s="94" t="s">
        <v>329</v>
      </c>
      <c r="E9" s="94" t="s">
        <v>330</v>
      </c>
      <c r="F9" s="94" t="s">
        <v>331</v>
      </c>
      <c r="G9" s="574"/>
      <c r="H9" s="574"/>
      <c r="I9" s="95" t="s">
        <v>332</v>
      </c>
      <c r="J9" s="95" t="s">
        <v>322</v>
      </c>
      <c r="K9" s="95" t="s">
        <v>333</v>
      </c>
      <c r="L9" s="96" t="s">
        <v>334</v>
      </c>
      <c r="M9" s="574"/>
      <c r="N9" s="574"/>
      <c r="O9" s="574"/>
    </row>
    <row r="10" spans="1:15" ht="24" x14ac:dyDescent="0.25">
      <c r="A10" s="97" t="s">
        <v>335</v>
      </c>
      <c r="B10" s="98" t="s">
        <v>336</v>
      </c>
      <c r="C10" s="99"/>
      <c r="D10" s="99"/>
      <c r="E10" s="99"/>
      <c r="F10" s="99"/>
      <c r="G10" s="99"/>
      <c r="H10" s="99"/>
      <c r="I10" s="99"/>
      <c r="J10" s="99"/>
      <c r="K10" s="99"/>
      <c r="L10" s="99"/>
      <c r="M10" s="99"/>
      <c r="N10" s="100"/>
      <c r="O10" s="100"/>
    </row>
    <row r="11" spans="1:15" x14ac:dyDescent="0.25">
      <c r="A11" s="101"/>
      <c r="B11" s="102" t="s">
        <v>340</v>
      </c>
      <c r="C11" s="103">
        <v>4408214</v>
      </c>
      <c r="D11" s="103"/>
      <c r="E11" s="103">
        <f>44884+1363201-44776</f>
        <v>1363309</v>
      </c>
      <c r="F11" s="103"/>
      <c r="G11" s="103"/>
      <c r="H11" s="104">
        <f>SUM(C11:G11)</f>
        <v>5771523</v>
      </c>
      <c r="I11" s="103">
        <f>1917613*0.08</f>
        <v>153409.04</v>
      </c>
      <c r="J11" s="103">
        <f>232887*0.08</f>
        <v>18630.96</v>
      </c>
      <c r="K11" s="103"/>
      <c r="L11" s="103">
        <f>SUM(I11:K11)</f>
        <v>172040</v>
      </c>
      <c r="M11" s="104">
        <v>2554801</v>
      </c>
      <c r="N11" s="486">
        <v>1</v>
      </c>
      <c r="O11" s="487">
        <v>0.02</v>
      </c>
    </row>
    <row r="12" spans="1:15" x14ac:dyDescent="0.25">
      <c r="A12" s="101"/>
      <c r="B12" s="105"/>
      <c r="C12" s="103"/>
      <c r="D12" s="103"/>
      <c r="E12" s="103"/>
      <c r="F12" s="103"/>
      <c r="G12" s="103"/>
      <c r="H12" s="104"/>
      <c r="I12" s="103"/>
      <c r="J12" s="103"/>
      <c r="K12" s="103"/>
      <c r="L12" s="103"/>
      <c r="M12" s="104"/>
      <c r="N12" s="486"/>
      <c r="O12" s="103"/>
    </row>
    <row r="13" spans="1:15" x14ac:dyDescent="0.25">
      <c r="A13" s="106" t="s">
        <v>337</v>
      </c>
      <c r="B13" s="105" t="s">
        <v>38</v>
      </c>
      <c r="C13" s="103">
        <f>SUM(C11:C12)</f>
        <v>4408214</v>
      </c>
      <c r="D13" s="103"/>
      <c r="E13" s="103">
        <f>SUM(E11:E12)</f>
        <v>1363309</v>
      </c>
      <c r="F13" s="103"/>
      <c r="G13" s="103"/>
      <c r="H13" s="103">
        <f>SUM(H11:H12)</f>
        <v>5771523</v>
      </c>
      <c r="I13" s="103">
        <f>SUM(I11:I12)</f>
        <v>153409.04</v>
      </c>
      <c r="J13" s="103">
        <f>SUM(J11:J12)</f>
        <v>18630.96</v>
      </c>
      <c r="K13" s="103"/>
      <c r="L13" s="103">
        <f>SUM(L11:L12)</f>
        <v>172040</v>
      </c>
      <c r="M13" s="104">
        <f>SUM(M11:M12)</f>
        <v>2554801</v>
      </c>
      <c r="N13" s="486">
        <v>1</v>
      </c>
      <c r="O13" s="107"/>
    </row>
    <row r="15" spans="1:15" x14ac:dyDescent="0.25">
      <c r="B15" s="484" t="s">
        <v>832</v>
      </c>
    </row>
    <row r="16" spans="1:15" x14ac:dyDescent="0.25">
      <c r="B16" s="484" t="s">
        <v>833</v>
      </c>
    </row>
    <row r="17" spans="2:3" x14ac:dyDescent="0.25">
      <c r="B17" s="484" t="s">
        <v>917</v>
      </c>
      <c r="C17" s="11">
        <v>16</v>
      </c>
    </row>
    <row r="18" spans="2:3" s="11" customFormat="1" ht="12" x14ac:dyDescent="0.2">
      <c r="B18" s="484" t="s">
        <v>834</v>
      </c>
      <c r="C18" s="485">
        <v>30</v>
      </c>
    </row>
    <row r="19" spans="2:3" s="11" customFormat="1" ht="12" x14ac:dyDescent="0.2">
      <c r="B19" s="484" t="s">
        <v>835</v>
      </c>
      <c r="C19" s="485">
        <v>5</v>
      </c>
    </row>
    <row r="20" spans="2:3" s="11" customFormat="1" ht="12" x14ac:dyDescent="0.2">
      <c r="B20" s="484" t="s">
        <v>918</v>
      </c>
      <c r="C20" s="485">
        <v>28</v>
      </c>
    </row>
    <row r="21" spans="2:3" s="11" customFormat="1" ht="12" x14ac:dyDescent="0.2">
      <c r="B21" s="484" t="s">
        <v>836</v>
      </c>
      <c r="C21" s="485">
        <v>679</v>
      </c>
    </row>
    <row r="22" spans="2:3" s="11" customFormat="1" ht="12" x14ac:dyDescent="0.2">
      <c r="B22" s="484" t="s">
        <v>837</v>
      </c>
      <c r="C22" s="485">
        <v>1103</v>
      </c>
    </row>
    <row r="23" spans="2:3" s="11" customFormat="1" ht="12" x14ac:dyDescent="0.2">
      <c r="B23" s="484" t="s">
        <v>838</v>
      </c>
      <c r="C23" s="485">
        <v>404</v>
      </c>
    </row>
    <row r="24" spans="2:3" s="11" customFormat="1" ht="12" x14ac:dyDescent="0.2">
      <c r="B24" s="484" t="s">
        <v>839</v>
      </c>
      <c r="C24" s="485">
        <v>47</v>
      </c>
    </row>
    <row r="25" spans="2:3" s="11" customFormat="1" ht="12" x14ac:dyDescent="0.2">
      <c r="B25" s="484" t="s">
        <v>919</v>
      </c>
      <c r="C25" s="485">
        <v>30</v>
      </c>
    </row>
    <row r="26" spans="2:3" s="11" customFormat="1" ht="12" x14ac:dyDescent="0.2">
      <c r="B26" s="484" t="s">
        <v>840</v>
      </c>
      <c r="C26" s="485">
        <v>222</v>
      </c>
    </row>
    <row r="27" spans="2:3" s="11" customFormat="1" ht="12" x14ac:dyDescent="0.2">
      <c r="B27" s="484" t="s">
        <v>841</v>
      </c>
      <c r="C27" s="485">
        <v>100</v>
      </c>
    </row>
    <row r="28" spans="2:3" s="11" customFormat="1" ht="12" x14ac:dyDescent="0.2">
      <c r="B28" s="484" t="s">
        <v>842</v>
      </c>
      <c r="C28" s="485">
        <v>660</v>
      </c>
    </row>
    <row r="29" spans="2:3" s="11" customFormat="1" ht="12" x14ac:dyDescent="0.2">
      <c r="B29" s="484" t="s">
        <v>920</v>
      </c>
      <c r="C29" s="485">
        <v>50</v>
      </c>
    </row>
    <row r="30" spans="2:3" s="11" customFormat="1" ht="12" x14ac:dyDescent="0.2">
      <c r="B30" s="484" t="s">
        <v>843</v>
      </c>
      <c r="C30" s="485">
        <v>403</v>
      </c>
    </row>
    <row r="31" spans="2:3" s="11" customFormat="1" ht="12" x14ac:dyDescent="0.2">
      <c r="B31" s="484" t="s">
        <v>844</v>
      </c>
      <c r="C31" s="485">
        <v>125</v>
      </c>
    </row>
    <row r="32" spans="2:3" s="11" customFormat="1" ht="12" x14ac:dyDescent="0.2">
      <c r="B32" s="484" t="s">
        <v>845</v>
      </c>
      <c r="C32" s="485">
        <v>474</v>
      </c>
    </row>
    <row r="33" spans="2:3" s="11" customFormat="1" ht="12" x14ac:dyDescent="0.2">
      <c r="B33" s="484" t="s">
        <v>846</v>
      </c>
      <c r="C33" s="485">
        <f>4690-44</f>
        <v>4646</v>
      </c>
    </row>
    <row r="34" spans="2:3" s="11" customFormat="1" ht="12.75" thickBot="1" x14ac:dyDescent="0.25">
      <c r="B34" s="484" t="s">
        <v>38</v>
      </c>
      <c r="C34" s="488">
        <f>SUM(C17:C33)</f>
        <v>9022</v>
      </c>
    </row>
    <row r="35" spans="2:3" s="11" customFormat="1" ht="12.75" thickTop="1" x14ac:dyDescent="0.2"/>
    <row r="36" spans="2:3" s="11" customFormat="1" ht="12" x14ac:dyDescent="0.2"/>
  </sheetData>
  <sheetProtection algorithmName="SHA-512" hashValue="Ebqd+CJNkHkSCRu5PgpxASV/ZrZwCeVqJxhnkYBmS6/4Ph+34XCLTpyizjAl800EhC64kBiZDZ7dPq9qdkDlVQ==" saltValue="psGyQl8LzwV/R+D+CeTLtg==" spinCount="100000" sheet="1" objects="1" scenarios="1"/>
  <mergeCells count="8">
    <mergeCell ref="N7:N9"/>
    <mergeCell ref="O7:O9"/>
    <mergeCell ref="C7:D8"/>
    <mergeCell ref="E7:F8"/>
    <mergeCell ref="G7:G9"/>
    <mergeCell ref="H7:H9"/>
    <mergeCell ref="I7:L8"/>
    <mergeCell ref="M7:M9"/>
  </mergeCells>
  <conditionalFormatting sqref="N11:N13 O11:O12 C10:M13">
    <cfRule type="cellIs" dxfId="3" priority="5" stopIfTrue="1" operator="lessThan">
      <formula>0</formula>
    </cfRule>
  </conditionalFormatting>
  <conditionalFormatting sqref="O13">
    <cfRule type="cellIs" dxfId="2" priority="4" stopIfTrue="1" operator="lessThan">
      <formula>0</formula>
    </cfRule>
  </conditionalFormatting>
  <pageMargins left="0.11811023622047245" right="0.11811023622047245" top="0.74803149606299213" bottom="0.74803149606299213" header="0.31496062992125984" footer="0.31496062992125984"/>
  <pageSetup paperSize="9" scale="60" fitToHeight="0" orientation="landscape" r:id="rId1"/>
  <headerFooter>
    <oddHeader>&amp;CDA
Bilag IX</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uden persondata" ma:contentTypeID="0x010100EA22E0D6A1D0534EBC7F181E32C2C501009281A8FBAC6A754687E8BC24AB4F1F11" ma:contentTypeVersion="8" ma:contentTypeDescription="Opret et nyt dokument." ma:contentTypeScope="" ma:versionID="e1a47c22eb752d0db9a097174b383adf">
  <xsd:schema xmlns:xsd="http://www.w3.org/2001/XMLSchema" xmlns:xs="http://www.w3.org/2001/XMLSchema" xmlns:p="http://schemas.microsoft.com/office/2006/metadata/properties" xmlns:ns2="d78d52d3-3c37-43f6-bd33-41345c71cbbe" xmlns:ns3="0668eec2-730b-4fc1-a9bc-8229da4f5e8e" xmlns:ns4="f6c75089-c181-4531-af5e-b9c5706b6804" targetNamespace="http://schemas.microsoft.com/office/2006/metadata/properties" ma:root="true" ma:fieldsID="58bb9cbd5836d15084c891978430068b" ns2:_="" ns3:_="" ns4:_="">
    <xsd:import namespace="d78d52d3-3c37-43f6-bd33-41345c71cbbe"/>
    <xsd:import namespace="0668eec2-730b-4fc1-a9bc-8229da4f5e8e"/>
    <xsd:import namespace="f6c75089-c181-4531-af5e-b9c5706b6804"/>
    <xsd:element name="properties">
      <xsd:complexType>
        <xsd:sequence>
          <xsd:element name="documentManagement">
            <xsd:complexType>
              <xsd:all>
                <xsd:element ref="ns2:_dlc_DocId" minOccurs="0"/>
                <xsd:element ref="ns2:_dlc_DocIdUrl" minOccurs="0"/>
                <xsd:element ref="ns2:_dlc_DocIdPersistId" minOccurs="0"/>
                <xsd:element ref="ns3:BD_GDPR_Indsigtsret" minOccurs="0"/>
                <xsd:element ref="ns3:BD_GDPR_SletteNotifikation" minOccurs="0"/>
                <xsd:element ref="ns2:TaxCatchAll" minOccurs="0"/>
                <xsd:element ref="ns2:TaxCatchAllLabel" minOccurs="0"/>
                <xsd:element ref="ns2:a136a5d333f346b292da0ca360edfdb6" minOccurs="0"/>
                <xsd:element ref="ns4:BD_GDPR_OfficeDocumen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d52d3-3c37-43f6-bd33-41345c71cbbe"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b0be6ec7-2c27-4567-bc21-f97493506a4a}" ma:internalName="TaxCatchAll" ma:showField="CatchAllData" ma:web="d78d52d3-3c37-43f6-bd33-41345c71cbbe">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b0be6ec7-2c27-4567-bc21-f97493506a4a}" ma:internalName="TaxCatchAllLabel" ma:readOnly="true" ma:showField="CatchAllDataLabel" ma:web="d78d52d3-3c37-43f6-bd33-41345c71cbbe">
      <xsd:complexType>
        <xsd:complexContent>
          <xsd:extension base="dms:MultiChoiceLookup">
            <xsd:sequence>
              <xsd:element name="Value" type="dms:Lookup" maxOccurs="unbounded" minOccurs="0" nillable="true"/>
            </xsd:sequence>
          </xsd:extension>
        </xsd:complexContent>
      </xsd:complexType>
    </xsd:element>
    <xsd:element name="a136a5d333f346b292da0ca360edfdb6" ma:index="15" nillable="true" ma:taxonomy="true" ma:internalName="a136a5d333f346b292da0ca360edfdb6" ma:taxonomyFieldName="BD_x002d_GDPR_x002d_SletteKategori" ma:displayName="SletteKategori" ma:indexed="true" ma:default="1;#BD ref. liste|2490cc7c-71a1-4edd-a080-b2562e367af6" ma:fieldId="{a136a5d3-33f3-46b2-92da-0ca360edfdb6}" ma:sspId="590b1b75-0903-455b-a8e3-3a9cb6194990" ma:termSetId="3101e47e-7b43-4301-a105-1b465b6d573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668eec2-730b-4fc1-a9bc-8229da4f5e8e" elementFormDefault="qualified">
    <xsd:import namespace="http://schemas.microsoft.com/office/2006/documentManagement/types"/>
    <xsd:import namespace="http://schemas.microsoft.com/office/infopath/2007/PartnerControls"/>
    <xsd:element name="BD_GDPR_Indsigtsret" ma:index="11" nillable="true" ma:displayName="Indsigtsret" ma:default="1" ma:internalName="BD_GDPR_Indsigtsret">
      <xsd:simpleType>
        <xsd:restriction base="dms:Boolean"/>
      </xsd:simpleType>
    </xsd:element>
    <xsd:element name="BD_GDPR_SletteNotifikation" ma:index="12" nillable="true" ma:displayName="SletteNotifikation" ma:default="1" ma:internalName="BD_GDPR_SletteNotifika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6c75089-c181-4531-af5e-b9c5706b6804" elementFormDefault="qualified">
    <xsd:import namespace="http://schemas.microsoft.com/office/2006/documentManagement/types"/>
    <xsd:import namespace="http://schemas.microsoft.com/office/infopath/2007/PartnerControls"/>
    <xsd:element name="BD_GDPR_OfficeDocumentDate" ma:index="17" nillable="true" ma:displayName="BDGDPROfficeDocumentDate" ma:hidden="true" ma:internalName="BD_GDPR_OfficeDocument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D_GDPR_SletteNotifikation xmlns="0668eec2-730b-4fc1-a9bc-8229da4f5e8e">false</BD_GDPR_SletteNotifikation>
    <BD_GDPR_OfficeDocumentDate xmlns="f6c75089-c181-4531-af5e-b9c5706b6804" xsi:nil="true"/>
    <TaxCatchAll xmlns="d78d52d3-3c37-43f6-bd33-41345c71cbbe">
      <Value>2</Value>
    </TaxCatchAll>
    <BD_GDPR_Indsigtsret xmlns="0668eec2-730b-4fc1-a9bc-8229da4f5e8e">false</BD_GDPR_Indsigtsret>
    <a136a5d333f346b292da0ca360edfdb6 xmlns="d78d52d3-3c37-43f6-bd33-41345c71cbbe">
      <Terms xmlns="http://schemas.microsoft.com/office/infopath/2007/PartnerControls">
        <TermInfo xmlns="http://schemas.microsoft.com/office/infopath/2007/PartnerControls">
          <TermName xmlns="http://schemas.microsoft.com/office/infopath/2007/PartnerControls">Løbende år + 5 år</TermName>
          <TermId xmlns="http://schemas.microsoft.com/office/infopath/2007/PartnerControls">8bba68fb-c1ce-4a18-88db-ce280b834c22</TermId>
        </TermInfo>
      </Terms>
    </a136a5d333f346b292da0ca360edfdb6>
    <_dlc_DocId xmlns="d78d52d3-3c37-43f6-bd33-41345c71cbbe">EP4JEAYJT7AU-894345469-97848</_dlc_DocId>
    <_dlc_DocIdUrl xmlns="d78d52d3-3c37-43f6-bd33-41345c71cbbe">
      <Url>https://intranet.nordfynsbank.bdpnet.dk/gdpr/_layouts/15/DocIdRedir.aspx?ID=EP4JEAYJT7AU-894345469-97848</Url>
      <Description>EP4JEAYJT7AU-894345469-97848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630D75-35D7-4ABD-8D8E-41C886A63988}">
  <ds:schemaRefs>
    <ds:schemaRef ds:uri="http://schemas.microsoft.com/sharepoint/events"/>
  </ds:schemaRefs>
</ds:datastoreItem>
</file>

<file path=customXml/itemProps2.xml><?xml version="1.0" encoding="utf-8"?>
<ds:datastoreItem xmlns:ds="http://schemas.openxmlformats.org/officeDocument/2006/customXml" ds:itemID="{7900EC8F-1FC9-416D-ADD7-AA78DF419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d52d3-3c37-43f6-bd33-41345c71cbbe"/>
    <ds:schemaRef ds:uri="0668eec2-730b-4fc1-a9bc-8229da4f5e8e"/>
    <ds:schemaRef ds:uri="f6c75089-c181-4531-af5e-b9c5706b6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074AEB-B562-496A-9DE7-022F60A9D874}">
  <ds:schemaRefs>
    <ds:schemaRef ds:uri="http://purl.org/dc/terms/"/>
    <ds:schemaRef ds:uri="http://www.w3.org/XML/1998/namespace"/>
    <ds:schemaRef ds:uri="0668eec2-730b-4fc1-a9bc-8229da4f5e8e"/>
    <ds:schemaRef ds:uri="http://purl.org/dc/elements/1.1/"/>
    <ds:schemaRef ds:uri="http://purl.org/dc/dcmitype/"/>
    <ds:schemaRef ds:uri="http://schemas.microsoft.com/office/2006/documentManagement/types"/>
    <ds:schemaRef ds:uri="f6c75089-c181-4531-af5e-b9c5706b6804"/>
    <ds:schemaRef ds:uri="http://schemas.microsoft.com/office/2006/metadata/properties"/>
    <ds:schemaRef ds:uri="d78d52d3-3c37-43f6-bd33-41345c71cbb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B87F5B82-DDA6-4920-BAB9-8502A3AD46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27</vt:i4>
      </vt:variant>
      <vt:variant>
        <vt:lpstr>Navngivne områder</vt:lpstr>
      </vt:variant>
      <vt:variant>
        <vt:i4>10</vt:i4>
      </vt:variant>
    </vt:vector>
  </HeadingPairs>
  <TitlesOfParts>
    <vt:vector size="37" baseType="lpstr">
      <vt:lpstr>Oplysninger</vt:lpstr>
      <vt:lpstr>Overblik</vt:lpstr>
      <vt:lpstr>EU OV1</vt:lpstr>
      <vt:lpstr>EU KM1</vt:lpstr>
      <vt:lpstr>Skema EU LI1 </vt:lpstr>
      <vt:lpstr>Skema EU LI2</vt:lpstr>
      <vt:lpstr>Skema EU LI3</vt:lpstr>
      <vt:lpstr>Skema EU CC1</vt:lpstr>
      <vt:lpstr>EU CCyB1</vt:lpstr>
      <vt:lpstr>EU CCyB2</vt:lpstr>
      <vt:lpstr>EU LR1 - LRSum</vt:lpstr>
      <vt:lpstr>EU LR2 - LRCom</vt:lpstr>
      <vt:lpstr>EU LR3 - LRSpl</vt:lpstr>
      <vt:lpstr>EU LIQ1</vt:lpstr>
      <vt:lpstr>EU LIQ2</vt:lpstr>
      <vt:lpstr>Skema EU CR1</vt:lpstr>
      <vt:lpstr>Skema EU CR1-A</vt:lpstr>
      <vt:lpstr>Skema EU CQ3</vt:lpstr>
      <vt:lpstr>Skema EU CQ5</vt:lpstr>
      <vt:lpstr>EU CR3</vt:lpstr>
      <vt:lpstr>EU CR4</vt:lpstr>
      <vt:lpstr>EU CR5</vt:lpstr>
      <vt:lpstr>EU MR1</vt:lpstr>
      <vt:lpstr>Skema EU OR1</vt:lpstr>
      <vt:lpstr>REM1</vt:lpstr>
      <vt:lpstr>REM5</vt:lpstr>
      <vt:lpstr>Skema EU AE1</vt:lpstr>
      <vt:lpstr>'EU MR1'!_ftn1</vt:lpstr>
      <vt:lpstr>'EU MR1'!_ftnref1</vt:lpstr>
      <vt:lpstr>'Skema EU LI1 '!_Toc483499698</vt:lpstr>
      <vt:lpstr>'EU CR3'!Udskriftsområde</vt:lpstr>
      <vt:lpstr>'EU LR1 - LRSum'!Udskriftsområde</vt:lpstr>
      <vt:lpstr>'EU LR2 - LRCom'!Udskriftsområde</vt:lpstr>
      <vt:lpstr>'EU LR3 - LRSpl'!Udskriftsområde</vt:lpstr>
      <vt:lpstr>'Skema EU CC1'!Udskriftsområde</vt:lpstr>
      <vt:lpstr>'Skema EU LI1 '!Udskriftsområde</vt:lpstr>
      <vt:lpstr>'Skema EU CC1'!Udskriftstitler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Kvantitative risikooplysninger 2021 (søjle III)</dc:title>
  <dc:creator>Anette Langkilde-Lauesen</dc:creator>
  <cp:lastModifiedBy>Anette Langkilde-Lauesen</cp:lastModifiedBy>
  <cp:lastPrinted>2022-02-22T12:37:13Z</cp:lastPrinted>
  <dcterms:created xsi:type="dcterms:W3CDTF">2022-02-14T10:13:46Z</dcterms:created>
  <dcterms:modified xsi:type="dcterms:W3CDTF">2023-02-23T15:52:54Z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0x010100EA22E0D6A1D0534EBC7F181E32C2C501009281A8FBAC6A754687E8BC24AB4F1F11</vt:lpwstr>
  </property>
  <property fmtid="{D5CDD505-2E9C-101B-9397-08002B2CF9AE}" pid="3" name="_dlc_DocIdItemGuid">
    <vt:lpwstr>e8158497-da8f-4fba-9229-c615509550b4</vt:lpwstr>
  </property>
  <property fmtid="{D5CDD505-2E9C-101B-9397-08002B2CF9AE}" pid="4" name="BD-GDPR-SletteKategori">
    <vt:lpwstr>2;#Løbende år + 5 år|8bba68fb-c1ce-4a18-88db-ce280b834c22</vt:lpwstr>
  </property>
</Properties>
</file>